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showPivotChartFilter="1" defaultThemeVersion="124226"/>
  <mc:AlternateContent xmlns:mc="http://schemas.openxmlformats.org/markup-compatibility/2006">
    <mc:Choice Requires="x15">
      <x15ac:absPath xmlns:x15ac="http://schemas.microsoft.com/office/spreadsheetml/2010/11/ac" url="\\Srvv-file01\territoires$\05_PAPI_LOING\0 - Montage PAPI Complet\0 - Dossier PAPI Consultation (pdf)\P2 - Diagnostic du territoire\Annexes\Annexe 3 - Bilan du PEP du bassin du Loing\"/>
    </mc:Choice>
  </mc:AlternateContent>
  <xr:revisionPtr revIDLastSave="0" documentId="13_ncr:1_{0CFEFBC2-99FC-44B6-86AB-9E820489A97D}" xr6:coauthVersionLast="47" xr6:coauthVersionMax="47" xr10:uidLastSave="{00000000-0000-0000-0000-000000000000}"/>
  <bookViews>
    <workbookView xWindow="-120" yWindow="-120" windowWidth="29040" windowHeight="15840" tabRatio="337" activeTab="2" xr2:uid="{00000000-000D-0000-FFFF-FFFF00000000}"/>
  </bookViews>
  <sheets>
    <sheet name="Lisez-moi" sheetId="7" r:id="rId1"/>
    <sheet name="Dépenses réelles PEP " sheetId="6" r:id="rId2"/>
    <sheet name="Synthèse" sheetId="5" r:id="rId3"/>
  </sheets>
  <definedNames>
    <definedName name="Axe">#REF!</definedName>
    <definedName name="base">#REF!</definedName>
    <definedName name="base2">#REF!</definedName>
    <definedName name="bise">#REF!</definedName>
    <definedName name="bose">#REF!</definedName>
    <definedName name="check">#REF!</definedName>
    <definedName name="Commencement">#REF!</definedName>
    <definedName name="Etat">#REF!</definedName>
    <definedName name="HTouTTC">#REF!</definedName>
    <definedName name="MO">#REF!</definedName>
    <definedName name="Nature">#REF!</definedName>
    <definedName name="phase">#REF!</definedName>
    <definedName name="Priorite">#REF!</definedName>
    <definedName name="Sousax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6" l="1"/>
  <c r="F43" i="6"/>
  <c r="F41" i="6"/>
  <c r="F42" i="6"/>
  <c r="F38" i="6"/>
  <c r="F39" i="6"/>
  <c r="F40" i="6"/>
  <c r="F36" i="6"/>
  <c r="F37" i="6"/>
  <c r="F35" i="6"/>
  <c r="F34" i="6"/>
  <c r="F33" i="6"/>
  <c r="F32" i="6"/>
  <c r="F29" i="6"/>
  <c r="F30" i="6"/>
  <c r="F31" i="6"/>
  <c r="F28" i="6"/>
  <c r="F27" i="6"/>
  <c r="F24" i="6"/>
  <c r="F23" i="6"/>
  <c r="F21" i="6"/>
  <c r="F16" i="6"/>
  <c r="F13" i="6"/>
  <c r="F14" i="6"/>
  <c r="F15" i="6"/>
  <c r="F12" i="6"/>
  <c r="F11" i="6"/>
  <c r="F10" i="6"/>
  <c r="F9" i="6"/>
  <c r="F8" i="6"/>
  <c r="F7" i="6"/>
  <c r="F5" i="6"/>
  <c r="F4" i="6"/>
  <c r="F3" i="6"/>
  <c r="F2" i="6"/>
  <c r="E45" i="6"/>
  <c r="D45" i="6"/>
  <c r="D44" i="6"/>
  <c r="D43" i="6"/>
  <c r="D41" i="6"/>
  <c r="D32" i="6"/>
  <c r="D27" i="6"/>
  <c r="D24" i="6"/>
  <c r="D23" i="6"/>
  <c r="D10" i="6"/>
  <c r="D5" i="6"/>
  <c r="D3" i="6"/>
  <c r="E4" i="6"/>
  <c r="E7" i="6"/>
  <c r="E8" i="6"/>
  <c r="E9" i="6"/>
  <c r="E11" i="6"/>
  <c r="E12" i="6"/>
  <c r="E13" i="6"/>
  <c r="E14" i="6"/>
  <c r="E15" i="6"/>
  <c r="E16" i="6"/>
  <c r="E17" i="6"/>
  <c r="E18" i="6"/>
  <c r="E19" i="6"/>
  <c r="E20" i="6"/>
  <c r="E21" i="6"/>
  <c r="E22" i="6"/>
  <c r="E25" i="6"/>
  <c r="E26" i="6"/>
  <c r="E28" i="6"/>
  <c r="E29" i="6"/>
  <c r="E30" i="6"/>
  <c r="E31" i="6"/>
  <c r="E33" i="6"/>
  <c r="E34" i="6"/>
  <c r="E35" i="6"/>
  <c r="E36" i="6"/>
  <c r="E37" i="6"/>
  <c r="E38" i="6"/>
  <c r="E39" i="6"/>
  <c r="E40" i="6"/>
  <c r="E42" i="6"/>
  <c r="E2" i="6"/>
  <c r="F45" i="6" l="1"/>
  <c r="O6" i="5" l="1"/>
  <c r="O7" i="5"/>
  <c r="O8" i="5"/>
  <c r="O9" i="5"/>
  <c r="O10" i="5"/>
  <c r="O11" i="5"/>
  <c r="O12" i="5"/>
  <c r="O13" i="5"/>
  <c r="O5" i="5"/>
  <c r="M6" i="5"/>
  <c r="M7" i="5"/>
  <c r="M8" i="5"/>
  <c r="M9" i="5"/>
  <c r="M10" i="5"/>
  <c r="M11" i="5"/>
  <c r="M12" i="5"/>
  <c r="M13" i="5"/>
  <c r="M5" i="5"/>
  <c r="G6" i="5"/>
  <c r="G7" i="5"/>
  <c r="G8" i="5"/>
  <c r="G9" i="5"/>
  <c r="G10" i="5"/>
  <c r="G11" i="5"/>
  <c r="G12" i="5"/>
  <c r="G13" i="5"/>
  <c r="G5" i="5"/>
  <c r="I8" i="5"/>
  <c r="I7" i="5"/>
  <c r="I6" i="5"/>
  <c r="I9" i="5"/>
  <c r="I10" i="5"/>
  <c r="I11" i="5"/>
  <c r="I12" i="5"/>
  <c r="I13" i="5"/>
  <c r="I5" i="5"/>
  <c r="C25" i="5"/>
  <c r="C24" i="5"/>
  <c r="C23" i="5"/>
  <c r="L20" i="5"/>
  <c r="C20" i="5"/>
  <c r="C19" i="5"/>
  <c r="C18" i="5"/>
  <c r="Z45" i="6"/>
  <c r="V45" i="6"/>
  <c r="T45" i="6"/>
  <c r="W2" i="6"/>
  <c r="W45" i="6" s="1"/>
  <c r="C26" i="5" l="1"/>
  <c r="AA6" i="6"/>
  <c r="U6" i="6" l="1"/>
  <c r="U2" i="6"/>
  <c r="U9" i="6" l="1"/>
  <c r="Y7" i="6"/>
  <c r="X5" i="6"/>
  <c r="X16" i="6"/>
  <c r="Y16" i="6" s="1"/>
  <c r="Y12" i="6"/>
  <c r="Y9" i="6"/>
  <c r="H11" i="6"/>
  <c r="I11" i="6" s="1"/>
  <c r="N44" i="6"/>
  <c r="K44" i="6"/>
  <c r="H44" i="6"/>
  <c r="N43" i="6"/>
  <c r="H43" i="6"/>
  <c r="I43" i="6" s="1"/>
  <c r="N42" i="6"/>
  <c r="I42" i="6"/>
  <c r="L42" i="6" s="1"/>
  <c r="H42" i="6"/>
  <c r="N41" i="6"/>
  <c r="K41" i="6"/>
  <c r="H41" i="6"/>
  <c r="N40" i="6"/>
  <c r="K40" i="6"/>
  <c r="I40" i="6"/>
  <c r="R40" i="6" s="1"/>
  <c r="H40" i="6"/>
  <c r="N39" i="6"/>
  <c r="K39" i="6"/>
  <c r="I39" i="6"/>
  <c r="R39" i="6" s="1"/>
  <c r="H39" i="6"/>
  <c r="N38" i="6"/>
  <c r="N37" i="6"/>
  <c r="K37" i="6"/>
  <c r="I37" i="6"/>
  <c r="L37" i="6" s="1"/>
  <c r="U37" i="6" s="1"/>
  <c r="H37" i="6"/>
  <c r="N36" i="6"/>
  <c r="K36" i="6"/>
  <c r="H36" i="6"/>
  <c r="I36" i="6" s="1"/>
  <c r="N35" i="6"/>
  <c r="K35" i="6"/>
  <c r="I35" i="6"/>
  <c r="H35" i="6"/>
  <c r="N34" i="6"/>
  <c r="H34" i="6"/>
  <c r="I34" i="6" s="1"/>
  <c r="N33" i="6"/>
  <c r="H33" i="6"/>
  <c r="I33" i="6" s="1"/>
  <c r="N32" i="6"/>
  <c r="H32" i="6"/>
  <c r="I32" i="6" s="1"/>
  <c r="N31" i="6"/>
  <c r="K31" i="6"/>
  <c r="H31" i="6"/>
  <c r="I31" i="6" s="1"/>
  <c r="R31" i="6" s="1"/>
  <c r="N30" i="6"/>
  <c r="K30" i="6"/>
  <c r="H30" i="6"/>
  <c r="I30" i="6" s="1"/>
  <c r="N29" i="6"/>
  <c r="K29" i="6"/>
  <c r="I29" i="6"/>
  <c r="H29" i="6"/>
  <c r="N28" i="6"/>
  <c r="K28" i="6"/>
  <c r="H28" i="6"/>
  <c r="I28" i="6" s="1"/>
  <c r="N27" i="6"/>
  <c r="K27" i="6"/>
  <c r="H27" i="6"/>
  <c r="R26" i="6"/>
  <c r="I26" i="6"/>
  <c r="P26" i="6" s="1"/>
  <c r="G26" i="6"/>
  <c r="N26" i="6" s="1"/>
  <c r="R25" i="6"/>
  <c r="K25" i="6"/>
  <c r="I25" i="6"/>
  <c r="P25" i="6" s="1"/>
  <c r="G25" i="6"/>
  <c r="N24" i="6"/>
  <c r="H24" i="6"/>
  <c r="R24" i="6" s="1"/>
  <c r="H23" i="6"/>
  <c r="I23" i="6" s="1"/>
  <c r="N22" i="6"/>
  <c r="I22" i="6"/>
  <c r="P22" i="6" s="1"/>
  <c r="H21" i="6"/>
  <c r="N20" i="6"/>
  <c r="I20" i="6"/>
  <c r="P20" i="6" s="1"/>
  <c r="N19" i="6"/>
  <c r="I19" i="6"/>
  <c r="L19" i="6" s="1"/>
  <c r="N18" i="6"/>
  <c r="I18" i="6"/>
  <c r="P18" i="6" s="1"/>
  <c r="N17" i="6"/>
  <c r="I17" i="6"/>
  <c r="P17" i="6" s="1"/>
  <c r="N16" i="6"/>
  <c r="H16" i="6"/>
  <c r="N15" i="6"/>
  <c r="K15" i="6"/>
  <c r="I15" i="6"/>
  <c r="R15" i="6" s="1"/>
  <c r="AA15" i="6" s="1"/>
  <c r="H15" i="6"/>
  <c r="R14" i="6"/>
  <c r="AA14" i="6" s="1"/>
  <c r="N14" i="6"/>
  <c r="L14" i="6"/>
  <c r="U14" i="6" s="1"/>
  <c r="I14" i="6"/>
  <c r="P14" i="6" s="1"/>
  <c r="H14" i="6"/>
  <c r="R13" i="6"/>
  <c r="AA13" i="6" s="1"/>
  <c r="N13" i="6"/>
  <c r="L13" i="6"/>
  <c r="U13" i="6" s="1"/>
  <c r="I13" i="6"/>
  <c r="P13" i="6" s="1"/>
  <c r="H13" i="6"/>
  <c r="N12" i="6"/>
  <c r="I12" i="6"/>
  <c r="L12" i="6" s="1"/>
  <c r="U12" i="6" s="1"/>
  <c r="H12" i="6"/>
  <c r="N11" i="6"/>
  <c r="N10" i="6"/>
  <c r="K10" i="6"/>
  <c r="H10" i="6"/>
  <c r="I10" i="6" s="1"/>
  <c r="R9" i="6"/>
  <c r="AA9" i="6" s="1"/>
  <c r="N9" i="6"/>
  <c r="I9" i="6"/>
  <c r="Q9" i="6" s="1"/>
  <c r="H9" i="6"/>
  <c r="N8" i="6"/>
  <c r="K8" i="6"/>
  <c r="H8" i="6"/>
  <c r="I8" i="6" s="1"/>
  <c r="N7" i="6"/>
  <c r="K7" i="6"/>
  <c r="H7" i="6"/>
  <c r="I7" i="6" s="1"/>
  <c r="H6" i="6"/>
  <c r="I6" i="6" s="1"/>
  <c r="R5" i="6"/>
  <c r="N5" i="6"/>
  <c r="K5" i="6"/>
  <c r="H5" i="6"/>
  <c r="K4" i="6"/>
  <c r="N4" i="6" s="1"/>
  <c r="I4" i="6"/>
  <c r="R4" i="6" s="1"/>
  <c r="H4" i="6"/>
  <c r="K3" i="6"/>
  <c r="N3" i="6" s="1"/>
  <c r="H3" i="6"/>
  <c r="I3" i="6" s="1"/>
  <c r="H2" i="6"/>
  <c r="J18" i="5" l="1"/>
  <c r="AA5" i="6"/>
  <c r="D19" i="5"/>
  <c r="I16" i="6"/>
  <c r="L16" i="6" s="1"/>
  <c r="D20" i="5"/>
  <c r="P44" i="6"/>
  <c r="D25" i="5"/>
  <c r="J26" i="5"/>
  <c r="D18" i="5"/>
  <c r="D24" i="5"/>
  <c r="D23" i="5"/>
  <c r="X45" i="6"/>
  <c r="M6" i="6"/>
  <c r="S6" i="6"/>
  <c r="J9" i="6"/>
  <c r="K9" i="6" s="1"/>
  <c r="I2" i="6"/>
  <c r="H45" i="6"/>
  <c r="N25" i="6"/>
  <c r="N45" i="6" s="1"/>
  <c r="G45" i="6"/>
  <c r="Q12" i="6"/>
  <c r="K12" i="6" s="1"/>
  <c r="J12" i="6" s="1"/>
  <c r="J29" i="6"/>
  <c r="R29" i="6"/>
  <c r="P29" i="6"/>
  <c r="Y29" i="6" s="1"/>
  <c r="M13" i="6"/>
  <c r="P15" i="6"/>
  <c r="J30" i="6"/>
  <c r="M14" i="6"/>
  <c r="S14" i="6"/>
  <c r="P37" i="6"/>
  <c r="L4" i="6"/>
  <c r="U4" i="6" s="1"/>
  <c r="J35" i="6"/>
  <c r="R20" i="6"/>
  <c r="P19" i="6"/>
  <c r="I5" i="6"/>
  <c r="R19" i="6"/>
  <c r="J37" i="6"/>
  <c r="M9" i="6"/>
  <c r="J25" i="6"/>
  <c r="R17" i="6"/>
  <c r="L25" i="6"/>
  <c r="R37" i="6"/>
  <c r="L40" i="6"/>
  <c r="U40" i="6" s="1"/>
  <c r="S9" i="6"/>
  <c r="L35" i="6"/>
  <c r="U35" i="6" s="1"/>
  <c r="P40" i="6"/>
  <c r="L30" i="6"/>
  <c r="J4" i="6"/>
  <c r="R22" i="6"/>
  <c r="R18" i="6"/>
  <c r="L29" i="6"/>
  <c r="U29" i="6" s="1"/>
  <c r="R32" i="6"/>
  <c r="P32" i="6"/>
  <c r="L32" i="6"/>
  <c r="J32" i="6"/>
  <c r="J8" i="6"/>
  <c r="R8" i="6"/>
  <c r="P8" i="6"/>
  <c r="L8" i="6"/>
  <c r="P33" i="6"/>
  <c r="R33" i="6"/>
  <c r="R28" i="6"/>
  <c r="P28" i="6"/>
  <c r="Y28" i="6" s="1"/>
  <c r="J28" i="6"/>
  <c r="L28" i="6"/>
  <c r="U28" i="6" s="1"/>
  <c r="R43" i="6"/>
  <c r="P43" i="6"/>
  <c r="L43" i="6"/>
  <c r="J43" i="6"/>
  <c r="P11" i="6"/>
  <c r="R11" i="6"/>
  <c r="L11" i="6"/>
  <c r="J11" i="6"/>
  <c r="L34" i="6"/>
  <c r="R34" i="6"/>
  <c r="P34" i="6"/>
  <c r="J34" i="6"/>
  <c r="L3" i="6"/>
  <c r="J3" i="6"/>
  <c r="R3" i="6"/>
  <c r="P3" i="6"/>
  <c r="R38" i="6"/>
  <c r="P38" i="6"/>
  <c r="L7" i="6"/>
  <c r="U7" i="6" s="1"/>
  <c r="R7" i="6"/>
  <c r="J7" i="6"/>
  <c r="R10" i="6"/>
  <c r="AA10" i="6" s="1"/>
  <c r="P10" i="6"/>
  <c r="J10" i="6"/>
  <c r="L10" i="6"/>
  <c r="U10" i="6" s="1"/>
  <c r="L23" i="6"/>
  <c r="R23" i="6"/>
  <c r="J23" i="6"/>
  <c r="P23" i="6"/>
  <c r="R36" i="6"/>
  <c r="J36" i="6"/>
  <c r="P36" i="6"/>
  <c r="L36" i="6"/>
  <c r="U36" i="6" s="1"/>
  <c r="S13" i="6"/>
  <c r="R44" i="6"/>
  <c r="J15" i="6"/>
  <c r="P41" i="6"/>
  <c r="R12" i="6"/>
  <c r="AA12" i="6" s="1"/>
  <c r="J17" i="6"/>
  <c r="J19" i="6"/>
  <c r="I21" i="6"/>
  <c r="P30" i="6"/>
  <c r="P35" i="6"/>
  <c r="Y35" i="6" s="1"/>
  <c r="J40" i="6"/>
  <c r="R41" i="6"/>
  <c r="J14" i="6"/>
  <c r="K14" i="6" s="1"/>
  <c r="L15" i="6"/>
  <c r="L17" i="6"/>
  <c r="I24" i="6"/>
  <c r="R30" i="6"/>
  <c r="R35" i="6"/>
  <c r="J39" i="6"/>
  <c r="J42" i="6"/>
  <c r="I44" i="6"/>
  <c r="E25" i="5" s="1"/>
  <c r="P4" i="6"/>
  <c r="J18" i="6"/>
  <c r="J20" i="6"/>
  <c r="J22" i="6"/>
  <c r="J26" i="6"/>
  <c r="L31" i="6"/>
  <c r="U31" i="6" s="1"/>
  <c r="L39" i="6"/>
  <c r="U39" i="6" s="1"/>
  <c r="I41" i="6"/>
  <c r="E24" i="5" s="1"/>
  <c r="P42" i="6"/>
  <c r="L18" i="6"/>
  <c r="L20" i="6"/>
  <c r="L22" i="6"/>
  <c r="L26" i="6"/>
  <c r="I27" i="6"/>
  <c r="E23" i="5" s="1"/>
  <c r="R42" i="6"/>
  <c r="J13" i="6"/>
  <c r="K13" i="6" s="1"/>
  <c r="J31" i="6"/>
  <c r="P31" i="6"/>
  <c r="P39" i="6"/>
  <c r="Y39" i="6" s="1"/>
  <c r="N19" i="5" l="1"/>
  <c r="D26" i="5"/>
  <c r="H18" i="5"/>
  <c r="P5" i="6"/>
  <c r="E19" i="5"/>
  <c r="K19" i="5" s="1"/>
  <c r="K24" i="5"/>
  <c r="O24" i="5"/>
  <c r="M24" i="5"/>
  <c r="M25" i="5"/>
  <c r="O25" i="5"/>
  <c r="K25" i="5"/>
  <c r="U16" i="6"/>
  <c r="H20" i="5"/>
  <c r="Q16" i="6"/>
  <c r="K16" i="6" s="1"/>
  <c r="J16" i="6" s="1"/>
  <c r="F20" i="5" s="1"/>
  <c r="E20" i="5"/>
  <c r="R16" i="6"/>
  <c r="N20" i="5" s="1"/>
  <c r="O20" i="5" s="1"/>
  <c r="O2" i="6"/>
  <c r="E18" i="5"/>
  <c r="K18" i="5" s="1"/>
  <c r="O23" i="5"/>
  <c r="K23" i="5"/>
  <c r="M2" i="6"/>
  <c r="AA45" i="6"/>
  <c r="I45" i="6"/>
  <c r="O45" i="6" s="1"/>
  <c r="R2" i="6"/>
  <c r="N18" i="5" s="1"/>
  <c r="J2" i="6"/>
  <c r="F18" i="5" s="1"/>
  <c r="K6" i="6"/>
  <c r="J6" i="6" s="1"/>
  <c r="P2" i="6"/>
  <c r="L18" i="5" s="1"/>
  <c r="M18" i="5" s="1"/>
  <c r="J5" i="6"/>
  <c r="F19" i="5" s="1"/>
  <c r="L5" i="6"/>
  <c r="J27" i="6"/>
  <c r="F23" i="5" s="1"/>
  <c r="G23" i="5" s="1"/>
  <c r="R27" i="6"/>
  <c r="P27" i="6"/>
  <c r="L23" i="5" s="1"/>
  <c r="L27" i="6"/>
  <c r="U27" i="6" s="1"/>
  <c r="L41" i="6"/>
  <c r="J41" i="6"/>
  <c r="F24" i="5" s="1"/>
  <c r="G24" i="5" s="1"/>
  <c r="R21" i="6"/>
  <c r="L21" i="6"/>
  <c r="P21" i="6"/>
  <c r="J21" i="6"/>
  <c r="L24" i="6"/>
  <c r="P24" i="6"/>
  <c r="J24" i="6"/>
  <c r="L44" i="6"/>
  <c r="J44" i="6"/>
  <c r="F25" i="5" s="1"/>
  <c r="G25" i="5" s="1"/>
  <c r="G19" i="5" l="1"/>
  <c r="I18" i="5"/>
  <c r="G18" i="5"/>
  <c r="O19" i="5"/>
  <c r="G20" i="5"/>
  <c r="H21" i="5"/>
  <c r="M23" i="5"/>
  <c r="U5" i="6"/>
  <c r="H19" i="5"/>
  <c r="I19" i="5" s="1"/>
  <c r="F26" i="5"/>
  <c r="G26" i="5" s="1"/>
  <c r="H23" i="5"/>
  <c r="U44" i="6"/>
  <c r="H25" i="5"/>
  <c r="I25" i="5" s="1"/>
  <c r="I20" i="5"/>
  <c r="Y5" i="6"/>
  <c r="Y45" i="6" s="1"/>
  <c r="L19" i="5"/>
  <c r="M19" i="5" s="1"/>
  <c r="M20" i="5"/>
  <c r="K20" i="5"/>
  <c r="N26" i="5"/>
  <c r="O18" i="5"/>
  <c r="E26" i="5"/>
  <c r="K26" i="5" s="1"/>
  <c r="U41" i="6"/>
  <c r="H24" i="5"/>
  <c r="I24" i="5" s="1"/>
  <c r="P45" i="6"/>
  <c r="Q45" i="6" s="1"/>
  <c r="R45" i="6"/>
  <c r="S45" i="6" s="1"/>
  <c r="K2" i="6"/>
  <c r="J45" i="6"/>
  <c r="K45" i="6" s="1"/>
  <c r="L45" i="6"/>
  <c r="M45" i="6" s="1"/>
  <c r="U45" i="6" l="1"/>
  <c r="H26" i="5"/>
  <c r="I26" i="5" s="1"/>
  <c r="I23" i="5"/>
  <c r="O26" i="5"/>
  <c r="L26" i="5"/>
  <c r="M26"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tc={8BDF1524-50B2-412E-90EB-C4004EBD747A}</author>
  </authors>
  <commentList>
    <comment ref="U31" authorId="0" shapeId="0" xr:uid="{8BDF1524-50B2-412E-90EB-C4004EBD74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Guillaume : il y a un pépin ici.</t>
      </text>
    </comment>
  </commentList>
</comments>
</file>

<file path=xl/sharedStrings.xml><?xml version="1.0" encoding="utf-8"?>
<sst xmlns="http://schemas.openxmlformats.org/spreadsheetml/2006/main" count="471" uniqueCount="162">
  <si>
    <t>TOTAL</t>
  </si>
  <si>
    <t>Harmoniser les règlements des PPRi à l'occasion de leur révision</t>
  </si>
  <si>
    <t>AXE</t>
  </si>
  <si>
    <t xml:space="preserve">Élaboration d'une stratégie de communication, d'information et de sensibilisation au risque d'inondation </t>
  </si>
  <si>
    <t>Mise en oeuvre d'un programme d'action de pose de repères de crues sur le territoire de la CC du Pays de Nemours</t>
  </si>
  <si>
    <t>Identification et mise en œuvre d'un programme d'action de pose de repères de crues sur le territoire de la 3CBO</t>
  </si>
  <si>
    <t>Mise en oeuvre d'un programme d'action de pose de repères de crues sur le territoire de la CC du Pays de Montereau</t>
  </si>
  <si>
    <t>Mise en oeuvre d'un programme d'action de pose de repères de crues sur la communauté de communes Gâtinais Val de Loing</t>
  </si>
  <si>
    <t>Mise en oeuvre d'un programme d'action de pose de repères de crues à l’échelle de la CC des Quatre Vallées</t>
  </si>
  <si>
    <t>Identification et pose de repères de crues à l’échelle de la CC Canaux et Forêts en Gâtinais</t>
  </si>
  <si>
    <t>Mise en oeuvre d'un programme d'action de pose de repères de crues à l’échelle de la commune de Charny Orée de Puisaye</t>
  </si>
  <si>
    <t>Elaboration d’une stratégie pour compléter la surveillance et la prévision des crues et des inondations sur le bassin du Loing</t>
  </si>
  <si>
    <t>Accompagner les collectivités dans la réalisation / mise à jour des PCS</t>
  </si>
  <si>
    <t>Partage d’expérience sur les Plans de Continuité d’Activité du territoire de la Communauté de Communes du Pays de Nemours</t>
  </si>
  <si>
    <t xml:space="preserve">Accompagnement à la réalisation d'exercices de gestion de crise </t>
  </si>
  <si>
    <t>Développement d'outils de "connaissance" et de "communication" pour l'évacuation des usagers de la voie d'eau</t>
  </si>
  <si>
    <t>Bilan des zonages pluviaux / schémas directeurs de gestion des eaux pluviales</t>
  </si>
  <si>
    <t>Mise en place d’ateliers thématiques pour la prise en compte du risque inondation dans l’urbanisme</t>
  </si>
  <si>
    <t xml:space="preserve">Réalisation de diagnostics de vulnérabilité de bâtiments publics de l'Agglomération Montargoise Et rives du Loing </t>
  </si>
  <si>
    <t>Analyse de la vulnérabilité du bâtiment des anciens Moulins de Nemours</t>
  </si>
  <si>
    <t>Réalisation de diagnostics de vulnérabilité de bâtiments publics des communes riveraines aux cours d'eau</t>
  </si>
  <si>
    <t>Etude diagnostic et préconisation de réduction de la vulnérabilité des bâtiments dela 3CBO</t>
  </si>
  <si>
    <t>Etude des aménagements hydrauliques sur le bassin du Loing</t>
  </si>
  <si>
    <t>Définition d’une stratégie de préservation et de restauration des zones d’expansion des crues (ZEC)</t>
  </si>
  <si>
    <t>Optimisation de la gestion des ouvrages hydrauliques dans le cadre de la gestion des crues</t>
  </si>
  <si>
    <t>Etude des systèmes d'endiguement sur le bassin du Loing</t>
  </si>
  <si>
    <t>EPTB SGL</t>
  </si>
  <si>
    <t>CC Pays de Nemours</t>
  </si>
  <si>
    <t>CC Cléry Betz Ouanne</t>
  </si>
  <si>
    <t>CC Pays de Montereau</t>
  </si>
  <si>
    <t>CC Gâtinais Val de Loing</t>
  </si>
  <si>
    <t>CC Quatre Vallées</t>
  </si>
  <si>
    <t>CC Canaux et Forêt en Gâtinais</t>
  </si>
  <si>
    <t>Commune de Charny Orée de Puisaye</t>
  </si>
  <si>
    <t>DDT 77</t>
  </si>
  <si>
    <t>Préfecture 45</t>
  </si>
  <si>
    <t>Préfecture 89</t>
  </si>
  <si>
    <t>CD 45</t>
  </si>
  <si>
    <t>VNF</t>
  </si>
  <si>
    <t>CC Moret Seine et Loing</t>
  </si>
  <si>
    <t>Axe 1</t>
  </si>
  <si>
    <t>Axe 2</t>
  </si>
  <si>
    <t>Axe 4</t>
  </si>
  <si>
    <t>Axe 6</t>
  </si>
  <si>
    <t>Axe 7</t>
  </si>
  <si>
    <t>Maître d'ouvrage</t>
  </si>
  <si>
    <t>Libellé de l'action</t>
  </si>
  <si>
    <t>Réalisation de diagnostic de vulnérabilité territoriale à l'échelle de la communauté de communes Moret Seine et Loing</t>
  </si>
  <si>
    <t>Réalisation de diagnostic de vulnérabilité territoriale  à l'échelle de la communauté de communes Gâtinais Val de Loing</t>
  </si>
  <si>
    <t>Analyse de la vulnérabilité du territoire de la Communauté de Communes des Quatre Vallées</t>
  </si>
  <si>
    <t>Référence de la
Fiche-action du PAPI</t>
  </si>
  <si>
    <t>Nom du maître d'ouvrage</t>
  </si>
  <si>
    <t>COUT
(HT)</t>
  </si>
  <si>
    <t>% Part.</t>
  </si>
  <si>
    <t>État FPRNM</t>
  </si>
  <si>
    <t>Conseil Départemental Seine-et-Marne</t>
  </si>
  <si>
    <t>Agence de l'eau Seine-Normandie</t>
  </si>
  <si>
    <t>Fiche-action 0.1</t>
  </si>
  <si>
    <t xml:space="preserve">Animation du PAPI d'intention </t>
  </si>
  <si>
    <t>EPTB Seine Grands Lacs</t>
  </si>
  <si>
    <t>Fiche-action 0.2</t>
  </si>
  <si>
    <t>Suivi et bilan du PAPI</t>
  </si>
  <si>
    <t>Etude hydrologique et hydraulique du bassin du Loing</t>
  </si>
  <si>
    <t>EPAGE du bassin du Loing</t>
  </si>
  <si>
    <t>Fiche-action 1.2</t>
  </si>
  <si>
    <t>Fiche-action 1.3</t>
  </si>
  <si>
    <t>Extension de la plateforme collaborative EpiSeine relative aux risque inondation</t>
  </si>
  <si>
    <t>Fiche-action 1.4.1</t>
  </si>
  <si>
    <t>Fiche-action 1.4.2</t>
  </si>
  <si>
    <t>Fiche-action 1.4.3</t>
  </si>
  <si>
    <t>Fiche-action 1.4.4</t>
  </si>
  <si>
    <t>Fiche-action 1.4.5</t>
  </si>
  <si>
    <t>Fiche-action 1.4.6</t>
  </si>
  <si>
    <t>Fiche-action 1.4.7</t>
  </si>
  <si>
    <t>COUT
(TTC)</t>
  </si>
  <si>
    <t>Fiche-action 2.1</t>
  </si>
  <si>
    <t>Fiche-action 3.1.1</t>
  </si>
  <si>
    <t>Fiche-action 3.1.2</t>
  </si>
  <si>
    <t>Fiche-action 3.1.3</t>
  </si>
  <si>
    <t>Fiche-action 3.1.4</t>
  </si>
  <si>
    <t>Fiche-action 3.2</t>
  </si>
  <si>
    <t>Fiche-action 3.3</t>
  </si>
  <si>
    <t>Fiche-action 3.4</t>
  </si>
  <si>
    <t>Fiche-action 4.1</t>
  </si>
  <si>
    <t>Etat</t>
  </si>
  <si>
    <t>Fiche-action 4.2</t>
  </si>
  <si>
    <t>Fiche-action 4.3</t>
  </si>
  <si>
    <t>Fiche-action 5.1.1</t>
  </si>
  <si>
    <t>AME</t>
  </si>
  <si>
    <t>Fiche-action 5.1.2</t>
  </si>
  <si>
    <t>Fiche-action 5.1.3</t>
  </si>
  <si>
    <t>Fiche-action 5.1.4</t>
  </si>
  <si>
    <t>3CBO</t>
  </si>
  <si>
    <t>Fiche-action 5.1.5</t>
  </si>
  <si>
    <t>Diagnostic de vulnérabilité de bâtiments publics (commune / EPCI)</t>
  </si>
  <si>
    <t>CC Canaux et Forêts en Gâtinais</t>
  </si>
  <si>
    <t>Fiche-action 5.1.6</t>
  </si>
  <si>
    <t>Réduction de la vulnérabilité des patrimoines bâtis (maisons éclusières, bâtiments d'exploitation et administratifs) de VNF</t>
  </si>
  <si>
    <t>Fiche-action 5.2.1</t>
  </si>
  <si>
    <t>Fiche-action 5.2.2</t>
  </si>
  <si>
    <t>Réalisation de diagnostics de vulnérabilité territoriale à l’échelle de l’agglomération Montargoise</t>
  </si>
  <si>
    <t>Fiche-action 5.2.3</t>
  </si>
  <si>
    <t>Fiche-action 5.2.4</t>
  </si>
  <si>
    <t>Analyse de la vulnérabilité du territoire de bâtiments publics, pour les activités économiques, l'habitat, les ERP, les activités agricoles, le patrimoine culturel et les gestionnaires de réseaux du territoire de la Communauté de Communes du Pays de Montereau</t>
  </si>
  <si>
    <t>Fiche-action 5.2.5</t>
  </si>
  <si>
    <t>Fiche-action 5.2.6</t>
  </si>
  <si>
    <t>Fiche-action 6.1</t>
  </si>
  <si>
    <t>Fiche-action 6.2</t>
  </si>
  <si>
    <t>Fiche-action 6.3</t>
  </si>
  <si>
    <t>Fiche-action 7.1</t>
  </si>
  <si>
    <t>Base subventionnable</t>
  </si>
  <si>
    <t>Animation</t>
  </si>
  <si>
    <t>Axe 3</t>
  </si>
  <si>
    <t>Axe 5</t>
  </si>
  <si>
    <t>Fiche-action 5.1.7</t>
  </si>
  <si>
    <t>Fiche-action 5.1.8</t>
  </si>
  <si>
    <t>Analyse de la vulnérabilité des bâtiments privés sur le périmètre ORT de la commune de Nemours (15 bâtiments)</t>
  </si>
  <si>
    <t>Commune de Nemours</t>
  </si>
  <si>
    <t>Analyse de la vulnérabilité du territoire pour les activités économiques, l’habitat, les ERP, les activités agricoles, le patrimoine culturel et les gestionnaires de réseaux (10 bâtiments)</t>
  </si>
  <si>
    <t>Fiche-action 0.3</t>
  </si>
  <si>
    <t>AMO à l'animation du PAPI</t>
  </si>
  <si>
    <t>Propriétaires des logements</t>
  </si>
  <si>
    <t>Travaux réalisés au titre de la réduction de la vulnérabilité aux inondations des biens diagnostiqués sur le périmètre de l'ORT de la commune de Nemours (10 bâtiments)</t>
  </si>
  <si>
    <t>Fonds Vert</t>
  </si>
  <si>
    <t>Fiche-action 1.1, Volet A</t>
  </si>
  <si>
    <t>Fiche-action 1.1, Volet B</t>
  </si>
  <si>
    <t>Etude des relation nappes / rivières sur le bassin du Loing</t>
  </si>
  <si>
    <t>Synthèse financière du PEP suite à l'avenant n°1 au PAPI d'intention (2022)</t>
  </si>
  <si>
    <t>-</t>
  </si>
  <si>
    <t>FPRNM 
Versée 
2021-2024</t>
  </si>
  <si>
    <t>FPRNM 
Attendue 2025</t>
  </si>
  <si>
    <t>Fonds Vert
Versée
2021-2024</t>
  </si>
  <si>
    <t>CD 77
Versée
2021-2024</t>
  </si>
  <si>
    <t>AESN
Versée
2021-2024</t>
  </si>
  <si>
    <t>Fonds Vert 
Attendue 2025</t>
  </si>
  <si>
    <t>CD 77
Attendue 2025</t>
  </si>
  <si>
    <t>AESN
Attendue 2025</t>
  </si>
  <si>
    <t>EPAGE du bassin du Loing et ARMINE</t>
  </si>
  <si>
    <t>Montants dépensés
(HT)</t>
  </si>
  <si>
    <t>Montants dépensés
 (TTC)</t>
  </si>
  <si>
    <t>opération subventionnée
HT ou TTC</t>
  </si>
  <si>
    <t>SOMMES</t>
  </si>
  <si>
    <r>
      <t xml:space="preserve">Action 1.4.3 : </t>
    </r>
    <r>
      <rPr>
        <sz val="11"/>
        <color theme="1"/>
        <rFont val="Calibri"/>
        <family val="2"/>
        <scheme val="minor"/>
      </rPr>
      <t>Pas de dépenses dans le PEP du Loing car l'action est réalisée dans le cadre du PAPI de la Seine et Marne Francilienne n°2</t>
    </r>
  </si>
  <si>
    <r>
      <t xml:space="preserve">Action 5.2.4 : </t>
    </r>
    <r>
      <rPr>
        <sz val="11"/>
        <color theme="1"/>
        <rFont val="Calibri"/>
        <family val="2"/>
        <scheme val="minor"/>
      </rPr>
      <t>Pas de dépenses dans le PEP du Loing car l'action a été réalisée dans le cadre du PAPI de la Seine et Marne Francilienne n°1</t>
    </r>
  </si>
  <si>
    <r>
      <t>Action 01 :</t>
    </r>
    <r>
      <rPr>
        <sz val="11"/>
        <color theme="1"/>
        <rFont val="Calibri"/>
        <family val="2"/>
        <scheme val="minor"/>
      </rPr>
      <t xml:space="preserve"> L'action est toujours en cours. 
Le montant des subventions du FPRNM attendus en 2025 (28 609,50€ dans le tableau) est un estimatif correspondant à la somme demandé en 2024 pour l'animation.
Le montant réel sera surement légèrement supérieur.</t>
    </r>
  </si>
  <si>
    <r>
      <t>Action 0.2 :</t>
    </r>
    <r>
      <rPr>
        <sz val="11"/>
        <color theme="1"/>
        <rFont val="Calibri"/>
        <family val="2"/>
        <scheme val="minor"/>
      </rPr>
      <t xml:space="preserve"> Pas de FPRNM versé ni attendu sur cette action faute de demande de prorogation de subvention (délais dépassés).</t>
    </r>
  </si>
  <si>
    <r>
      <rPr>
        <b/>
        <sz val="11"/>
        <color theme="1"/>
        <rFont val="Calibri"/>
        <family val="2"/>
        <scheme val="minor"/>
      </rPr>
      <t>Action 1.1, volet A et 2.1 :</t>
    </r>
    <r>
      <rPr>
        <sz val="11"/>
        <color theme="1"/>
        <rFont val="Calibri"/>
        <family val="2"/>
        <scheme val="minor"/>
      </rPr>
      <t xml:space="preserve"> Une seule demande de subvention a été  efectuée pour ces deux actions auprès du CD 77.
Le montant max de la subvention accordée pour les deux actions par le CD77 est de 38 019 €
Pour tableau, la répartition des montants et des subventions entre les deux actions a été effectuée de sorte à conserver un reste à charge de 20 % pour l'EPAGE sur l'action 1.1. 
D'où u taux de financement plus faible que prévu pour l'action 1.1 et plus élevé que prévu sur l'action 2.1.
Pour le tableau, la clé de répartition des montants versés à ce jour par le CD 77 pour les deux action est de 50/50</t>
    </r>
  </si>
  <si>
    <r>
      <rPr>
        <b/>
        <sz val="11"/>
        <color theme="1"/>
        <rFont val="Calibri"/>
        <family val="2"/>
        <scheme val="minor"/>
      </rPr>
      <t>Action 1.3 :</t>
    </r>
    <r>
      <rPr>
        <sz val="11"/>
        <color theme="1"/>
        <rFont val="Calibri"/>
        <family val="2"/>
        <scheme val="minor"/>
      </rPr>
      <t xml:space="preserve"> L'action se poursuit sur 2025. Le montant total des dépenses n'est pas connu à ce jour. 
Le montant des subventions attendus du FPRNM (30 000 €) indiqué dans le tableau est un estimatif correspondant à 50% du montant indiqué dans la fiche action au lancement du PEP.
Les dépenses réelles seront surement moindres.</t>
    </r>
  </si>
  <si>
    <r>
      <t xml:space="preserve">Action 1.4.1 : </t>
    </r>
    <r>
      <rPr>
        <sz val="11"/>
        <color theme="1"/>
        <rFont val="Calibri"/>
        <family val="2"/>
        <scheme val="minor"/>
      </rPr>
      <t>Le reste à charge pour la collectivité est supérieur à 20 % en raison d'une absence de demande de prorogation de la demande de subenvention.
Seuls les montants indiquées dans les factures antérieures à la fin du délais de la subvention ont étés pris en compte dans le tableau.</t>
    </r>
  </si>
  <si>
    <r>
      <t xml:space="preserve">Action 5.1.7 et 5.1.8 : </t>
    </r>
    <r>
      <rPr>
        <sz val="11"/>
        <color theme="1"/>
        <rFont val="Calibri"/>
        <family val="2"/>
        <scheme val="minor"/>
      </rPr>
      <t>Pas de sépenses dans le cadre du PAP car ces actions sont reportées au prochain PAPI du Loing.</t>
    </r>
  </si>
  <si>
    <r>
      <rPr>
        <b/>
        <sz val="11"/>
        <color theme="1"/>
        <rFont val="Calibri"/>
        <family val="2"/>
        <scheme val="minor"/>
      </rPr>
      <t>Action 6.1 et 7.1 :</t>
    </r>
    <r>
      <rPr>
        <sz val="11"/>
        <color theme="1"/>
        <rFont val="Calibri"/>
        <family val="2"/>
        <scheme val="minor"/>
      </rPr>
      <t xml:space="preserve"> Ces actions ont été regroupé au sein d'un seul et même marché. La demande de subvention pour le FPRNM a également été groupée. 
La répartition des montants dépensés, des subventions versées et attendues n'est détaillé ni dans le marché, ni dans les demandes de subventions. Aussi, pour le tableau une répartition 50/50 a été effectuée.
L'action toujours en cours et des dépenses sont encores attendues en 2025. Le montants des subventions attendues pour 2025 est par conséquent un estimatif.</t>
    </r>
  </si>
  <si>
    <t xml:space="preserve">Note pour compréhension de l'onglet "Dépenses réelles PEP" </t>
  </si>
  <si>
    <t>Participation 
Maître d'ouvrage</t>
  </si>
  <si>
    <t>Participation
FPRNM</t>
  </si>
  <si>
    <t>Participation
Fonds Vert</t>
  </si>
  <si>
    <t>Participation
CD 77</t>
  </si>
  <si>
    <t>Participation
AESN</t>
  </si>
  <si>
    <t>État (BOP 181 + FPRNM)</t>
  </si>
  <si>
    <t>Synthèse financière du PEP au 10 février 2025</t>
  </si>
  <si>
    <t>Montant initial HT (CCF)</t>
  </si>
  <si>
    <t>Montant initial TTC (CCF)</t>
  </si>
  <si>
    <t>HT ou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</si>
</sst>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 &quot;€&quot;_-;\-* #,##0\ &quot;€&quot;_-;_-* &quot;-&quot;??\ &quot;€&quot;_-;_-@_-"/>
    <numFmt numFmtId="165" formatCode="0.0%"/>
    <numFmt numFmtId="166" formatCode="_-* #,##0.00\ _€_-;\-* #,##0.00\ _€_-;_-* &quot;-&quot;??\ _€_-;_-@_-"/>
    <numFmt numFmtId="167" formatCode="_-* #,##0.00000000\ &quot;€&quot;_-;\-* #,##0.00000000\ &quot;€&quot;_-;_-* &quot;-&quot;??\ &quot;€&quot;_-;_-@_-"/>
  </numFmts>
  <fonts count="16" x14ac:knownFonts="1">
    <font>
      <sz val="11"/>
      <color theme="1"/>
      <name val="Calibri"/>
      <family val="2"/>
      <scheme val="minor"/>
    </font>
    <font>
      <b/>
      <sz val="12"/>
      <name val="Calibri"/>
      <family val="2"/>
      <scheme val="minor"/>
    </font>
    <font>
      <sz val="10"/>
      <name val="Arial"/>
      <family val="2"/>
    </font>
    <font>
      <sz val="11"/>
      <name val="Calibri"/>
      <family val="2"/>
      <scheme val="minor"/>
    </font>
    <font>
      <b/>
      <sz val="11"/>
      <name val="Calibri"/>
      <family val="2"/>
      <scheme val="minor"/>
    </font>
    <font>
      <sz val="11"/>
      <name val="Calibri"/>
      <family val="2"/>
    </font>
    <font>
      <sz val="14"/>
      <name val="Calibri"/>
      <family val="2"/>
      <scheme val="minor"/>
    </font>
    <font>
      <b/>
      <sz val="14"/>
      <name val="Calibri"/>
      <family val="2"/>
      <scheme val="minor"/>
    </font>
    <font>
      <sz val="12"/>
      <name val="Calibri"/>
      <family val="2"/>
    </font>
    <font>
      <sz val="11"/>
      <color theme="1"/>
      <name val="Calibri"/>
      <family val="2"/>
      <scheme val="minor"/>
    </font>
    <font>
      <sz val="10"/>
      <color theme="1"/>
      <name val="Century Gothic"/>
      <family val="2"/>
    </font>
    <font>
      <sz val="12"/>
      <name val="Calibri"/>
      <family val="2"/>
      <scheme val="minor"/>
    </font>
    <font>
      <b/>
      <sz val="14"/>
      <color theme="1"/>
      <name val="Calibri"/>
      <family val="2"/>
      <scheme val="minor"/>
    </font>
    <font>
      <sz val="11"/>
      <color rgb="FFFF0000"/>
      <name val="Calibri"/>
      <family val="2"/>
      <scheme val="minor"/>
    </font>
    <font>
      <b/>
      <sz val="11"/>
      <color theme="1"/>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style="thin">
        <color indexed="8"/>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s>
  <cellStyleXfs count="8">
    <xf numFmtId="0" fontId="0"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166" fontId="9" fillId="0" borderId="0" applyFont="0" applyFill="0" applyBorder="0" applyAlignment="0" applyProtection="0"/>
    <xf numFmtId="9" fontId="9" fillId="0" borderId="0" applyFont="0" applyFill="0" applyBorder="0" applyAlignment="0" applyProtection="0"/>
    <xf numFmtId="0" fontId="10" fillId="0" borderId="0"/>
    <xf numFmtId="44" fontId="9" fillId="0" borderId="0" applyFont="0" applyFill="0" applyBorder="0" applyAlignment="0" applyProtection="0"/>
  </cellStyleXfs>
  <cellXfs count="198">
    <xf numFmtId="0" fontId="0" fillId="0" borderId="0" xfId="0"/>
    <xf numFmtId="164" fontId="6" fillId="0" borderId="1" xfId="2" applyNumberFormat="1" applyFont="1" applyFill="1" applyBorder="1" applyAlignment="1">
      <alignment horizontal="center" vertical="center"/>
    </xf>
    <xf numFmtId="164" fontId="6"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9" fontId="6" fillId="0" borderId="1" xfId="3" applyFont="1" applyFill="1" applyBorder="1" applyAlignment="1">
      <alignment horizontal="center" vertical="center"/>
    </xf>
    <xf numFmtId="0" fontId="4" fillId="0" borderId="10"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6" xfId="1" applyFont="1" applyBorder="1" applyAlignment="1">
      <alignment horizontal="center" vertical="center"/>
    </xf>
    <xf numFmtId="9" fontId="6" fillId="3" borderId="22" xfId="1" applyNumberFormat="1" applyFont="1" applyFill="1" applyBorder="1" applyAlignment="1">
      <alignment horizontal="center" vertical="center"/>
    </xf>
    <xf numFmtId="165" fontId="6" fillId="0" borderId="24" xfId="1" applyNumberFormat="1" applyFont="1" applyBorder="1" applyAlignment="1">
      <alignment horizontal="center" vertical="center"/>
    </xf>
    <xf numFmtId="44" fontId="6" fillId="0" borderId="1" xfId="1" applyNumberFormat="1" applyFont="1" applyBorder="1" applyAlignment="1">
      <alignment horizontal="center" vertical="center"/>
    </xf>
    <xf numFmtId="9" fontId="6" fillId="3" borderId="24" xfId="1" applyNumberFormat="1" applyFont="1" applyFill="1" applyBorder="1" applyAlignment="1">
      <alignment horizontal="center" vertical="center"/>
    </xf>
    <xf numFmtId="9" fontId="6" fillId="0" borderId="24" xfId="1" applyNumberFormat="1" applyFont="1" applyBorder="1" applyAlignment="1">
      <alignment horizontal="center" vertical="center"/>
    </xf>
    <xf numFmtId="0" fontId="3" fillId="2" borderId="0" xfId="1" applyFont="1" applyFill="1" applyAlignment="1">
      <alignment horizontal="center" vertical="center"/>
    </xf>
    <xf numFmtId="164" fontId="6" fillId="0" borderId="32" xfId="1" applyNumberFormat="1" applyFont="1" applyBorder="1" applyAlignment="1">
      <alignment horizontal="center" vertical="center"/>
    </xf>
    <xf numFmtId="44" fontId="6" fillId="0" borderId="32" xfId="1" applyNumberFormat="1" applyFont="1" applyBorder="1" applyAlignment="1">
      <alignment horizontal="center" vertical="center"/>
    </xf>
    <xf numFmtId="44" fontId="6" fillId="0" borderId="1" xfId="1" applyNumberFormat="1" applyFont="1" applyBorder="1" applyAlignment="1">
      <alignment horizontal="center" vertical="center" wrapText="1"/>
    </xf>
    <xf numFmtId="165" fontId="6" fillId="0" borderId="1" xfId="1" applyNumberFormat="1" applyFont="1" applyBorder="1" applyAlignment="1">
      <alignment horizontal="center" vertical="center"/>
    </xf>
    <xf numFmtId="0" fontId="0" fillId="2" borderId="0" xfId="0" applyFill="1"/>
    <xf numFmtId="0" fontId="4" fillId="2" borderId="11"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2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29" xfId="1" applyFont="1" applyFill="1" applyBorder="1" applyAlignment="1">
      <alignment horizontal="center" vertical="center" wrapText="1"/>
    </xf>
    <xf numFmtId="0" fontId="4" fillId="2" borderId="29" xfId="1" applyFont="1" applyFill="1" applyBorder="1" applyAlignment="1">
      <alignment horizontal="center" vertical="center"/>
    </xf>
    <xf numFmtId="0" fontId="4" fillId="2" borderId="30" xfId="1" applyFont="1" applyFill="1" applyBorder="1" applyAlignment="1">
      <alignment horizontal="center" vertical="center" wrapText="1"/>
    </xf>
    <xf numFmtId="0" fontId="4" fillId="2" borderId="18" xfId="1" applyFont="1" applyFill="1" applyBorder="1" applyAlignment="1">
      <alignment horizontal="center" vertical="center"/>
    </xf>
    <xf numFmtId="44" fontId="11" fillId="2" borderId="17" xfId="2" applyFont="1" applyFill="1" applyBorder="1" applyAlignment="1">
      <alignment vertical="center" wrapText="1"/>
    </xf>
    <xf numFmtId="44" fontId="11" fillId="2" borderId="20" xfId="2" applyFont="1" applyFill="1" applyBorder="1" applyAlignment="1">
      <alignment vertical="center" wrapText="1"/>
    </xf>
    <xf numFmtId="44" fontId="11" fillId="2" borderId="18" xfId="1" applyNumberFormat="1" applyFont="1" applyFill="1" applyBorder="1" applyAlignment="1">
      <alignment horizontal="center" vertical="center"/>
    </xf>
    <xf numFmtId="44" fontId="11" fillId="2" borderId="17" xfId="2" applyFont="1" applyFill="1" applyBorder="1" applyAlignment="1">
      <alignment horizontal="center" vertical="center" wrapText="1"/>
    </xf>
    <xf numFmtId="10" fontId="11" fillId="2" borderId="22" xfId="1" applyNumberFormat="1" applyFont="1" applyFill="1" applyBorder="1" applyAlignment="1">
      <alignment horizontal="center" vertical="center"/>
    </xf>
    <xf numFmtId="44" fontId="11" fillId="2" borderId="17" xfId="2" applyFont="1" applyFill="1" applyBorder="1" applyAlignment="1">
      <alignment horizontal="center" vertical="center"/>
    </xf>
    <xf numFmtId="164" fontId="11" fillId="2" borderId="17" xfId="2" applyNumberFormat="1" applyFont="1" applyFill="1" applyBorder="1" applyAlignment="1">
      <alignment horizontal="center" vertical="center"/>
    </xf>
    <xf numFmtId="44" fontId="11" fillId="2" borderId="17" xfId="1" applyNumberFormat="1" applyFont="1" applyFill="1" applyBorder="1" applyAlignment="1">
      <alignment horizontal="center" vertical="center"/>
    </xf>
    <xf numFmtId="0" fontId="4" fillId="2" borderId="14" xfId="1" applyFont="1" applyFill="1" applyBorder="1" applyAlignment="1">
      <alignment horizontal="center" vertical="center" wrapText="1"/>
    </xf>
    <xf numFmtId="44" fontId="11" fillId="2" borderId="6" xfId="2" applyFont="1" applyFill="1" applyBorder="1" applyAlignment="1">
      <alignment vertical="center"/>
    </xf>
    <xf numFmtId="44" fontId="11" fillId="2" borderId="3" xfId="2" applyFont="1" applyFill="1" applyBorder="1" applyAlignment="1">
      <alignment vertical="center"/>
    </xf>
    <xf numFmtId="44" fontId="11" fillId="2" borderId="14" xfId="1" applyNumberFormat="1" applyFont="1" applyFill="1" applyBorder="1" applyAlignment="1">
      <alignment horizontal="center" vertical="center"/>
    </xf>
    <xf numFmtId="44" fontId="11" fillId="2" borderId="6" xfId="2" applyFont="1" applyFill="1" applyBorder="1" applyAlignment="1">
      <alignment horizontal="center" vertical="center"/>
    </xf>
    <xf numFmtId="10" fontId="11" fillId="2" borderId="3" xfId="1" applyNumberFormat="1" applyFont="1" applyFill="1" applyBorder="1" applyAlignment="1">
      <alignment horizontal="center" vertical="center"/>
    </xf>
    <xf numFmtId="164" fontId="11" fillId="2" borderId="6" xfId="2" applyNumberFormat="1" applyFont="1" applyFill="1" applyBorder="1" applyAlignment="1">
      <alignment horizontal="center" vertical="center"/>
    </xf>
    <xf numFmtId="0" fontId="4" fillId="2" borderId="14" xfId="1" applyFont="1" applyFill="1" applyBorder="1" applyAlignment="1">
      <alignment horizontal="center" vertical="center"/>
    </xf>
    <xf numFmtId="0" fontId="4" fillId="2" borderId="27" xfId="1" applyFont="1" applyFill="1" applyBorder="1" applyAlignment="1">
      <alignment horizontal="center" vertical="center"/>
    </xf>
    <xf numFmtId="44" fontId="11" fillId="2" borderId="31" xfId="2" applyFont="1" applyFill="1" applyBorder="1" applyAlignment="1">
      <alignment vertical="center"/>
    </xf>
    <xf numFmtId="44" fontId="11" fillId="2" borderId="28" xfId="2" applyFont="1" applyFill="1" applyBorder="1" applyAlignment="1">
      <alignment vertical="center"/>
    </xf>
    <xf numFmtId="44" fontId="11" fillId="2" borderId="27" xfId="1" applyNumberFormat="1" applyFont="1" applyFill="1" applyBorder="1" applyAlignment="1">
      <alignment horizontal="center" vertical="center"/>
    </xf>
    <xf numFmtId="44" fontId="11" fillId="2" borderId="31" xfId="2" applyFont="1" applyFill="1" applyBorder="1" applyAlignment="1">
      <alignment horizontal="center" vertical="center"/>
    </xf>
    <xf numFmtId="44" fontId="1" fillId="2" borderId="9" xfId="2" applyFont="1" applyFill="1" applyBorder="1" applyAlignment="1">
      <alignment horizontal="center" vertical="center"/>
    </xf>
    <xf numFmtId="44" fontId="1" fillId="2" borderId="16" xfId="2" applyFont="1" applyFill="1" applyBorder="1" applyAlignment="1">
      <alignment horizontal="center" vertical="center"/>
    </xf>
    <xf numFmtId="44" fontId="1" fillId="2" borderId="11" xfId="1" applyNumberFormat="1" applyFont="1" applyFill="1" applyBorder="1" applyAlignment="1">
      <alignment horizontal="center" vertical="center"/>
    </xf>
    <xf numFmtId="10" fontId="1" fillId="2" borderId="26" xfId="1" applyNumberFormat="1" applyFont="1" applyFill="1" applyBorder="1" applyAlignment="1">
      <alignment horizontal="center" vertical="center"/>
    </xf>
    <xf numFmtId="164" fontId="1" fillId="2" borderId="9" xfId="2" applyNumberFormat="1" applyFont="1" applyFill="1" applyBorder="1" applyAlignment="1">
      <alignment horizontal="center" vertical="center"/>
    </xf>
    <xf numFmtId="44" fontId="11" fillId="2" borderId="20" xfId="2" applyFont="1" applyFill="1" applyBorder="1" applyAlignment="1">
      <alignment horizontal="left" vertical="center" wrapText="1" indent="1"/>
    </xf>
    <xf numFmtId="44" fontId="11" fillId="2" borderId="19" xfId="1" applyNumberFormat="1" applyFont="1" applyFill="1" applyBorder="1" applyAlignment="1">
      <alignment horizontal="center" vertical="center"/>
    </xf>
    <xf numFmtId="44" fontId="11" fillId="2" borderId="3" xfId="2" applyFont="1" applyFill="1" applyBorder="1" applyAlignment="1">
      <alignment horizontal="left" vertical="center" indent="1"/>
    </xf>
    <xf numFmtId="44" fontId="11" fillId="2" borderId="2" xfId="2" applyFont="1" applyFill="1" applyBorder="1" applyAlignment="1">
      <alignment horizontal="center" vertical="center"/>
    </xf>
    <xf numFmtId="44" fontId="11" fillId="2" borderId="28" xfId="2" applyFont="1" applyFill="1" applyBorder="1" applyAlignment="1">
      <alignment horizontal="left" vertical="center" indent="1"/>
    </xf>
    <xf numFmtId="44" fontId="11" fillId="2" borderId="25" xfId="2" applyFont="1" applyFill="1" applyBorder="1" applyAlignment="1">
      <alignment horizontal="center" vertical="center"/>
    </xf>
    <xf numFmtId="164" fontId="1" fillId="2" borderId="16" xfId="2" applyNumberFormat="1" applyFont="1" applyFill="1" applyBorder="1" applyAlignment="1">
      <alignment horizontal="center" vertical="center"/>
    </xf>
    <xf numFmtId="44" fontId="1" fillId="2" borderId="15" xfId="2" applyFont="1" applyFill="1" applyBorder="1" applyAlignment="1">
      <alignment horizontal="center" vertical="center"/>
    </xf>
    <xf numFmtId="0" fontId="7" fillId="2" borderId="0" xfId="1" applyFont="1" applyFill="1" applyAlignment="1">
      <alignment horizontal="left" vertical="center"/>
    </xf>
    <xf numFmtId="0" fontId="12" fillId="2" borderId="0" xfId="0" applyFont="1" applyFill="1"/>
    <xf numFmtId="0" fontId="5" fillId="0" borderId="1" xfId="1" applyFont="1" applyBorder="1" applyAlignment="1">
      <alignment horizontal="left" vertical="center" wrapText="1"/>
    </xf>
    <xf numFmtId="0" fontId="3" fillId="0" borderId="1" xfId="1" applyFont="1" applyBorder="1" applyAlignment="1">
      <alignment horizontal="left" vertical="center" wrapText="1"/>
    </xf>
    <xf numFmtId="0" fontId="8" fillId="0" borderId="1" xfId="1" applyFont="1" applyBorder="1" applyAlignment="1">
      <alignment horizontal="left" vertical="center" wrapText="1"/>
    </xf>
    <xf numFmtId="44" fontId="6" fillId="3" borderId="1" xfId="1" applyNumberFormat="1" applyFont="1" applyFill="1" applyBorder="1" applyAlignment="1">
      <alignment horizontal="center" vertical="center"/>
    </xf>
    <xf numFmtId="9" fontId="6" fillId="3" borderId="1" xfId="1" applyNumberFormat="1" applyFont="1" applyFill="1" applyBorder="1" applyAlignment="1">
      <alignment horizontal="center" vertical="center"/>
    </xf>
    <xf numFmtId="164" fontId="6" fillId="3" borderId="1" xfId="1" applyNumberFormat="1" applyFont="1" applyFill="1" applyBorder="1" applyAlignment="1">
      <alignment horizontal="center" vertical="center"/>
    </xf>
    <xf numFmtId="9" fontId="6" fillId="3" borderId="1" xfId="5" applyFont="1" applyFill="1" applyBorder="1" applyAlignment="1">
      <alignment horizontal="center" vertical="center"/>
    </xf>
    <xf numFmtId="9" fontId="6" fillId="3" borderId="1" xfId="3" applyFont="1" applyFill="1" applyBorder="1" applyAlignment="1">
      <alignment horizontal="center" vertical="center"/>
    </xf>
    <xf numFmtId="164" fontId="6" fillId="3" borderId="1" xfId="2" applyNumberFormat="1" applyFont="1" applyFill="1" applyBorder="1" applyAlignment="1">
      <alignment horizontal="center" vertical="center"/>
    </xf>
    <xf numFmtId="44" fontId="6" fillId="2" borderId="1" xfId="1" applyNumberFormat="1" applyFont="1" applyFill="1" applyBorder="1" applyAlignment="1">
      <alignment horizontal="center" vertical="center"/>
    </xf>
    <xf numFmtId="9" fontId="6" fillId="2" borderId="1" xfId="1" applyNumberFormat="1" applyFont="1" applyFill="1" applyBorder="1" applyAlignment="1">
      <alignment horizontal="center" vertical="center"/>
    </xf>
    <xf numFmtId="164" fontId="6" fillId="2" borderId="1" xfId="1" applyNumberFormat="1" applyFont="1" applyFill="1" applyBorder="1" applyAlignment="1">
      <alignment horizontal="center" vertical="center"/>
    </xf>
    <xf numFmtId="164" fontId="6" fillId="0" borderId="24" xfId="1" applyNumberFormat="1" applyFont="1" applyBorder="1" applyAlignment="1">
      <alignment horizontal="center" vertical="center" wrapText="1"/>
    </xf>
    <xf numFmtId="44" fontId="6" fillId="0" borderId="24" xfId="1" applyNumberFormat="1" applyFont="1" applyBorder="1" applyAlignment="1">
      <alignment horizontal="center" vertical="center" wrapText="1"/>
    </xf>
    <xf numFmtId="164" fontId="6" fillId="0" borderId="24" xfId="1" applyNumberFormat="1" applyFont="1" applyBorder="1" applyAlignment="1">
      <alignment horizontal="center" vertical="center"/>
    </xf>
    <xf numFmtId="44" fontId="6" fillId="0" borderId="24" xfId="1" applyNumberFormat="1" applyFont="1" applyBorder="1" applyAlignment="1">
      <alignment horizontal="center" vertical="center"/>
    </xf>
    <xf numFmtId="44" fontId="6" fillId="2" borderId="24" xfId="1" applyNumberFormat="1" applyFont="1" applyFill="1" applyBorder="1" applyAlignment="1">
      <alignment horizontal="center" vertical="center"/>
    </xf>
    <xf numFmtId="164" fontId="6" fillId="2" borderId="24" xfId="2" applyNumberFormat="1" applyFont="1" applyFill="1" applyBorder="1" applyAlignment="1">
      <alignment horizontal="center" vertical="center"/>
    </xf>
    <xf numFmtId="0" fontId="4" fillId="0" borderId="6" xfId="1" applyFont="1" applyBorder="1" applyAlignment="1">
      <alignment horizontal="center" vertical="center"/>
    </xf>
    <xf numFmtId="0" fontId="4" fillId="2" borderId="6" xfId="1" applyFont="1" applyFill="1" applyBorder="1" applyAlignment="1">
      <alignment horizontal="center" vertical="center"/>
    </xf>
    <xf numFmtId="0" fontId="4" fillId="0" borderId="7" xfId="1" applyFont="1" applyBorder="1" applyAlignment="1">
      <alignment horizontal="center" vertical="center"/>
    </xf>
    <xf numFmtId="0" fontId="8" fillId="0" borderId="8" xfId="1" applyFont="1" applyBorder="1" applyAlignment="1">
      <alignment horizontal="left" vertical="center" wrapText="1"/>
    </xf>
    <xf numFmtId="44" fontId="6" fillId="0" borderId="6" xfId="1" applyNumberFormat="1" applyFont="1" applyBorder="1" applyAlignment="1">
      <alignment horizontal="center" vertical="center"/>
    </xf>
    <xf numFmtId="44" fontId="6" fillId="2" borderId="6" xfId="1" applyNumberFormat="1" applyFont="1" applyFill="1" applyBorder="1" applyAlignment="1">
      <alignment horizontal="center" vertical="center"/>
    </xf>
    <xf numFmtId="9" fontId="6" fillId="3" borderId="24" xfId="3" applyFont="1" applyFill="1" applyBorder="1" applyAlignment="1">
      <alignment horizontal="center" vertical="center"/>
    </xf>
    <xf numFmtId="0" fontId="4" fillId="0" borderId="17" xfId="1" applyFont="1" applyBorder="1" applyAlignment="1">
      <alignment horizontal="center" vertical="center"/>
    </xf>
    <xf numFmtId="0" fontId="5" fillId="0" borderId="32" xfId="1" applyFont="1" applyBorder="1" applyAlignment="1">
      <alignment horizontal="left" vertical="center" wrapText="1"/>
    </xf>
    <xf numFmtId="44" fontId="6" fillId="3" borderId="32" xfId="1" applyNumberFormat="1" applyFont="1" applyFill="1" applyBorder="1" applyAlignment="1">
      <alignment horizontal="center" vertical="center"/>
    </xf>
    <xf numFmtId="9" fontId="6" fillId="3" borderId="32" xfId="1" applyNumberFormat="1" applyFont="1" applyFill="1" applyBorder="1" applyAlignment="1">
      <alignment horizontal="center" vertical="center"/>
    </xf>
    <xf numFmtId="0" fontId="4" fillId="0" borderId="10" xfId="1" applyFont="1" applyBorder="1" applyAlignment="1">
      <alignment horizontal="center" vertical="center"/>
    </xf>
    <xf numFmtId="0" fontId="4" fillId="0" borderId="15" xfId="1" applyFont="1" applyBorder="1" applyAlignment="1">
      <alignment horizontal="center" vertical="center" wrapText="1"/>
    </xf>
    <xf numFmtId="0" fontId="4" fillId="0" borderId="26" xfId="1" applyFont="1" applyBorder="1" applyAlignment="1">
      <alignment horizontal="center" vertical="center" wrapText="1"/>
    </xf>
    <xf numFmtId="44" fontId="4" fillId="0" borderId="10" xfId="7" applyFont="1" applyBorder="1" applyAlignment="1">
      <alignment horizontal="center" vertical="center" wrapText="1"/>
    </xf>
    <xf numFmtId="44" fontId="4" fillId="0" borderId="26" xfId="7" applyFont="1" applyBorder="1" applyAlignment="1">
      <alignment horizontal="center" vertical="center" wrapText="1"/>
    </xf>
    <xf numFmtId="44" fontId="0" fillId="0" borderId="0" xfId="7" applyFont="1"/>
    <xf numFmtId="44" fontId="0" fillId="0" borderId="0" xfId="0" applyNumberFormat="1"/>
    <xf numFmtId="44" fontId="15" fillId="3" borderId="1" xfId="7" applyFont="1" applyFill="1" applyBorder="1" applyAlignment="1">
      <alignment horizontal="center" vertical="center"/>
    </xf>
    <xf numFmtId="44" fontId="15" fillId="3" borderId="24" xfId="7" applyFont="1" applyFill="1" applyBorder="1" applyAlignment="1">
      <alignment horizontal="center" vertical="center"/>
    </xf>
    <xf numFmtId="44" fontId="6" fillId="0" borderId="1" xfId="2" applyFont="1" applyFill="1" applyBorder="1" applyAlignment="1">
      <alignment horizontal="center" vertical="center"/>
    </xf>
    <xf numFmtId="0" fontId="0" fillId="0" borderId="0" xfId="0" applyAlignment="1">
      <alignment wrapText="1"/>
    </xf>
    <xf numFmtId="164" fontId="6" fillId="3" borderId="6" xfId="1" applyNumberFormat="1" applyFont="1" applyFill="1" applyBorder="1" applyAlignment="1">
      <alignment horizontal="center" vertical="center"/>
    </xf>
    <xf numFmtId="44" fontId="0" fillId="0" borderId="0" xfId="7" applyFont="1" applyAlignment="1">
      <alignment horizontal="center"/>
    </xf>
    <xf numFmtId="167" fontId="4" fillId="0" borderId="10" xfId="7" applyNumberFormat="1" applyFont="1" applyBorder="1" applyAlignment="1">
      <alignment horizontal="center" vertical="center" wrapText="1"/>
    </xf>
    <xf numFmtId="44" fontId="6" fillId="0" borderId="17" xfId="1" applyNumberFormat="1" applyFont="1" applyBorder="1" applyAlignment="1">
      <alignment horizontal="center" vertical="center"/>
    </xf>
    <xf numFmtId="44" fontId="6" fillId="0" borderId="22" xfId="1" applyNumberFormat="1" applyFont="1" applyBorder="1" applyAlignment="1">
      <alignment horizontal="center" vertical="center" wrapText="1"/>
    </xf>
    <xf numFmtId="44" fontId="6" fillId="0" borderId="24" xfId="2" applyFont="1" applyFill="1" applyBorder="1" applyAlignment="1">
      <alignment horizontal="center" vertical="center"/>
    </xf>
    <xf numFmtId="44" fontId="6" fillId="0" borderId="17" xfId="2" applyFont="1" applyFill="1" applyBorder="1" applyAlignment="1">
      <alignment horizontal="center" vertical="center"/>
    </xf>
    <xf numFmtId="44" fontId="6" fillId="0" borderId="32" xfId="2" applyFont="1" applyFill="1" applyBorder="1" applyAlignment="1">
      <alignment horizontal="center" vertical="center"/>
    </xf>
    <xf numFmtId="0" fontId="13" fillId="0" borderId="0" xfId="0" applyFont="1"/>
    <xf numFmtId="164" fontId="0" fillId="0" borderId="0" xfId="0" applyNumberFormat="1"/>
    <xf numFmtId="10" fontId="6" fillId="0" borderId="32" xfId="1" applyNumberFormat="1" applyFont="1" applyBorder="1" applyAlignment="1">
      <alignment horizontal="center" vertical="center"/>
    </xf>
    <xf numFmtId="44" fontId="6" fillId="2" borderId="23" xfId="2" applyFont="1" applyFill="1" applyBorder="1" applyAlignment="1">
      <alignment horizontal="center" vertical="center"/>
    </xf>
    <xf numFmtId="44" fontId="6" fillId="2" borderId="33" xfId="1" applyNumberFormat="1" applyFont="1" applyFill="1" applyBorder="1" applyAlignment="1">
      <alignment horizontal="center" vertical="center"/>
    </xf>
    <xf numFmtId="44" fontId="6" fillId="2" borderId="31" xfId="1" applyNumberFormat="1" applyFont="1" applyFill="1" applyBorder="1" applyAlignment="1">
      <alignment horizontal="center" vertical="center"/>
    </xf>
    <xf numFmtId="9" fontId="6" fillId="2" borderId="23" xfId="1" applyNumberFormat="1" applyFont="1" applyFill="1" applyBorder="1" applyAlignment="1">
      <alignment horizontal="center" vertical="center"/>
    </xf>
    <xf numFmtId="44" fontId="6" fillId="2" borderId="23" xfId="1" applyNumberFormat="1" applyFont="1" applyFill="1" applyBorder="1" applyAlignment="1">
      <alignment horizontal="center" vertical="center"/>
    </xf>
    <xf numFmtId="164" fontId="6" fillId="3" borderId="23" xfId="1" applyNumberFormat="1" applyFont="1" applyFill="1" applyBorder="1" applyAlignment="1">
      <alignment horizontal="center" vertical="center"/>
    </xf>
    <xf numFmtId="9" fontId="6" fillId="3" borderId="23" xfId="3" applyFont="1" applyFill="1" applyBorder="1" applyAlignment="1">
      <alignment horizontal="center" vertical="center"/>
    </xf>
    <xf numFmtId="9" fontId="6" fillId="3" borderId="23" xfId="1" applyNumberFormat="1" applyFont="1" applyFill="1" applyBorder="1" applyAlignment="1">
      <alignment horizontal="center" vertical="center"/>
    </xf>
    <xf numFmtId="9" fontId="6" fillId="3" borderId="33" xfId="1" applyNumberFormat="1" applyFont="1" applyFill="1" applyBorder="1" applyAlignment="1">
      <alignment horizontal="center" vertical="center"/>
    </xf>
    <xf numFmtId="44" fontId="12" fillId="0" borderId="9" xfId="0" applyNumberFormat="1" applyFont="1" applyBorder="1" applyAlignment="1">
      <alignment horizontal="center" vertical="center"/>
    </xf>
    <xf numFmtId="44" fontId="12" fillId="0" borderId="10" xfId="0" applyNumberFormat="1" applyFont="1" applyBorder="1" applyAlignment="1">
      <alignment horizontal="center" vertical="center"/>
    </xf>
    <xf numFmtId="44" fontId="12" fillId="0" borderId="26" xfId="0" applyNumberFormat="1" applyFont="1" applyBorder="1" applyAlignment="1">
      <alignment horizontal="center" vertical="center"/>
    </xf>
    <xf numFmtId="165" fontId="12" fillId="0" borderId="10" xfId="5" applyNumberFormat="1" applyFont="1" applyBorder="1" applyAlignment="1">
      <alignment horizontal="center" vertical="center"/>
    </xf>
    <xf numFmtId="164" fontId="12" fillId="0" borderId="10" xfId="0" applyNumberFormat="1" applyFont="1" applyBorder="1" applyAlignment="1">
      <alignment horizontal="center" vertical="center"/>
    </xf>
    <xf numFmtId="44" fontId="12" fillId="0" borderId="16" xfId="0" applyNumberFormat="1" applyFont="1" applyBorder="1" applyAlignment="1">
      <alignment horizontal="center" vertical="center"/>
    </xf>
    <xf numFmtId="44" fontId="12" fillId="0" borderId="11" xfId="0" applyNumberFormat="1" applyFont="1" applyBorder="1" applyAlignment="1">
      <alignment horizontal="center" vertical="center"/>
    </xf>
    <xf numFmtId="0" fontId="12" fillId="0" borderId="0" xfId="0" applyFont="1"/>
    <xf numFmtId="0" fontId="14" fillId="0" borderId="0" xfId="0" applyFont="1" applyAlignment="1">
      <alignment wrapText="1"/>
    </xf>
    <xf numFmtId="0" fontId="14" fillId="0" borderId="0" xfId="0" applyFont="1"/>
    <xf numFmtId="44" fontId="6" fillId="3" borderId="1" xfId="2"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vertical="center"/>
    </xf>
    <xf numFmtId="0" fontId="0" fillId="0" borderId="0" xfId="0" applyAlignment="1">
      <alignment vertical="center" wrapText="1"/>
    </xf>
    <xf numFmtId="0" fontId="12" fillId="2" borderId="12" xfId="0" applyFont="1" applyFill="1" applyBorder="1" applyAlignment="1">
      <alignment vertical="center"/>
    </xf>
    <xf numFmtId="0" fontId="12" fillId="2" borderId="13" xfId="0" applyFont="1" applyFill="1" applyBorder="1" applyAlignment="1">
      <alignment vertical="center"/>
    </xf>
    <xf numFmtId="0" fontId="12" fillId="2" borderId="13" xfId="0" applyFont="1" applyFill="1" applyBorder="1" applyAlignment="1">
      <alignment horizontal="center" vertical="center"/>
    </xf>
    <xf numFmtId="10" fontId="11" fillId="2" borderId="34" xfId="1" applyNumberFormat="1" applyFont="1" applyFill="1" applyBorder="1" applyAlignment="1">
      <alignment horizontal="center" vertical="center"/>
    </xf>
    <xf numFmtId="10" fontId="11" fillId="2" borderId="28" xfId="1" applyNumberFormat="1" applyFont="1" applyFill="1" applyBorder="1" applyAlignment="1">
      <alignment horizontal="center" vertical="center"/>
    </xf>
    <xf numFmtId="10" fontId="11" fillId="2" borderId="26" xfId="1" applyNumberFormat="1" applyFont="1" applyFill="1" applyBorder="1" applyAlignment="1">
      <alignment horizontal="center" vertical="center"/>
    </xf>
    <xf numFmtId="10" fontId="11" fillId="2" borderId="16" xfId="1" applyNumberFormat="1" applyFont="1" applyFill="1" applyBorder="1" applyAlignment="1">
      <alignment horizontal="center" vertical="center"/>
    </xf>
    <xf numFmtId="164" fontId="11" fillId="2" borderId="31" xfId="2" applyNumberFormat="1" applyFont="1" applyFill="1" applyBorder="1" applyAlignment="1">
      <alignment horizontal="center" vertical="center"/>
    </xf>
    <xf numFmtId="44" fontId="6" fillId="3" borderId="1" xfId="7" applyFont="1" applyFill="1" applyBorder="1" applyAlignment="1">
      <alignment horizontal="center" vertical="center"/>
    </xf>
    <xf numFmtId="44" fontId="6" fillId="0" borderId="1" xfId="7" applyFont="1" applyBorder="1" applyAlignment="1">
      <alignment horizontal="center" vertical="center"/>
    </xf>
    <xf numFmtId="44" fontId="6" fillId="0" borderId="24" xfId="7" applyFont="1" applyBorder="1" applyAlignment="1">
      <alignment horizontal="center" vertical="center"/>
    </xf>
    <xf numFmtId="44" fontId="6" fillId="0" borderId="6" xfId="7" applyFont="1" applyBorder="1" applyAlignment="1">
      <alignment horizontal="center" vertical="center"/>
    </xf>
    <xf numFmtId="44" fontId="6" fillId="3" borderId="24" xfId="7" applyFont="1" applyFill="1" applyBorder="1" applyAlignment="1">
      <alignment horizontal="center" vertical="center"/>
    </xf>
    <xf numFmtId="164" fontId="6" fillId="3" borderId="1" xfId="7" applyNumberFormat="1" applyFont="1" applyFill="1" applyBorder="1" applyAlignment="1">
      <alignment horizontal="center" vertical="center"/>
    </xf>
    <xf numFmtId="164" fontId="6" fillId="0" borderId="1" xfId="7" applyNumberFormat="1" applyFont="1" applyBorder="1" applyAlignment="1">
      <alignment horizontal="center" vertical="center"/>
    </xf>
    <xf numFmtId="44" fontId="6" fillId="0" borderId="1" xfId="7" applyFont="1" applyBorder="1" applyAlignment="1">
      <alignment horizontal="left" vertical="center" indent="2"/>
    </xf>
    <xf numFmtId="44" fontId="6" fillId="0" borderId="31" xfId="7" applyFont="1" applyBorder="1" applyAlignment="1">
      <alignment horizontal="center" vertical="center"/>
    </xf>
    <xf numFmtId="44" fontId="6" fillId="2" borderId="23" xfId="7" applyFont="1" applyFill="1" applyBorder="1" applyAlignment="1">
      <alignment horizontal="center" vertical="center"/>
    </xf>
    <xf numFmtId="44" fontId="6" fillId="3" borderId="23" xfId="7" applyFont="1" applyFill="1" applyBorder="1" applyAlignment="1">
      <alignment horizontal="center" vertical="center"/>
    </xf>
    <xf numFmtId="44" fontId="6" fillId="3" borderId="33" xfId="7" applyFont="1" applyFill="1" applyBorder="1" applyAlignment="1">
      <alignment horizontal="center" vertical="center"/>
    </xf>
    <xf numFmtId="10" fontId="6" fillId="0" borderId="1" xfId="1" applyNumberFormat="1" applyFont="1" applyBorder="1" applyAlignment="1">
      <alignment horizontal="center" vertical="center"/>
    </xf>
    <xf numFmtId="165" fontId="6" fillId="0" borderId="1" xfId="3" applyNumberFormat="1" applyFont="1" applyFill="1" applyBorder="1" applyAlignment="1">
      <alignment horizontal="center" vertical="center"/>
    </xf>
    <xf numFmtId="165" fontId="6" fillId="0" borderId="1" xfId="1" applyNumberFormat="1" applyFont="1" applyBorder="1" applyAlignment="1">
      <alignment horizontal="left" vertical="center" indent="4"/>
    </xf>
    <xf numFmtId="9" fontId="6" fillId="0" borderId="1" xfId="3" applyFont="1" applyFill="1" applyBorder="1" applyAlignment="1">
      <alignment horizontal="left" vertical="center" indent="5"/>
    </xf>
    <xf numFmtId="44" fontId="6" fillId="0" borderId="4" xfId="7" applyFont="1" applyBorder="1" applyAlignment="1">
      <alignment horizontal="center" vertical="center"/>
    </xf>
    <xf numFmtId="44" fontId="6" fillId="0" borderId="5" xfId="7" applyFont="1" applyBorder="1" applyAlignment="1">
      <alignment horizontal="center" vertical="center"/>
    </xf>
    <xf numFmtId="44" fontId="6" fillId="3" borderId="5" xfId="7" applyFont="1" applyFill="1" applyBorder="1" applyAlignment="1">
      <alignment horizontal="center" vertical="center"/>
    </xf>
    <xf numFmtId="44" fontId="6" fillId="3" borderId="21" xfId="7" applyFont="1" applyFill="1" applyBorder="1" applyAlignment="1">
      <alignment horizontal="center" vertical="center"/>
    </xf>
    <xf numFmtId="44" fontId="6" fillId="3" borderId="6" xfId="7" applyFont="1" applyFill="1" applyBorder="1" applyAlignment="1">
      <alignment horizontal="center" vertical="center"/>
    </xf>
    <xf numFmtId="165" fontId="0" fillId="0" borderId="0" xfId="5" applyNumberFormat="1" applyFont="1"/>
    <xf numFmtId="165" fontId="0" fillId="0" borderId="0" xfId="0" applyNumberFormat="1"/>
    <xf numFmtId="10" fontId="12" fillId="0" borderId="26" xfId="5" applyNumberFormat="1" applyFont="1" applyBorder="1" applyAlignment="1">
      <alignment horizontal="center" vertical="center"/>
    </xf>
    <xf numFmtId="10" fontId="12" fillId="0" borderId="10" xfId="5" applyNumberFormat="1" applyFont="1" applyBorder="1" applyAlignment="1">
      <alignment horizontal="center" vertical="center"/>
    </xf>
    <xf numFmtId="10" fontId="0" fillId="0" borderId="0" xfId="0" applyNumberFormat="1"/>
    <xf numFmtId="0" fontId="3" fillId="0" borderId="20" xfId="1" applyFont="1" applyBorder="1" applyAlignment="1">
      <alignment horizontal="center" vertical="center" wrapText="1"/>
    </xf>
    <xf numFmtId="0" fontId="3" fillId="0" borderId="3" xfId="1" applyFont="1" applyBorder="1" applyAlignment="1">
      <alignment horizontal="center" vertical="center" wrapText="1"/>
    </xf>
    <xf numFmtId="0" fontId="3" fillId="0" borderId="35" xfId="1" applyFont="1" applyBorder="1" applyAlignment="1">
      <alignment horizontal="center" vertical="center" wrapText="1"/>
    </xf>
    <xf numFmtId="44" fontId="6" fillId="0" borderId="19" xfId="2" applyFont="1" applyFill="1" applyBorder="1" applyAlignment="1">
      <alignment horizontal="center" vertical="center"/>
    </xf>
    <xf numFmtId="44" fontId="6" fillId="0" borderId="2" xfId="2" applyFont="1" applyFill="1" applyBorder="1" applyAlignment="1">
      <alignment horizontal="center" vertical="center"/>
    </xf>
    <xf numFmtId="164" fontId="6" fillId="0" borderId="2" xfId="2" applyNumberFormat="1" applyFont="1" applyFill="1" applyBorder="1" applyAlignment="1">
      <alignment horizontal="center" vertical="center"/>
    </xf>
    <xf numFmtId="44" fontId="6" fillId="2" borderId="2" xfId="2" applyFont="1" applyFill="1" applyBorder="1" applyAlignment="1">
      <alignment horizontal="center" vertical="center"/>
    </xf>
    <xf numFmtId="164" fontId="6" fillId="2" borderId="2" xfId="2" applyNumberFormat="1" applyFont="1" applyFill="1" applyBorder="1" applyAlignment="1">
      <alignment horizontal="center" vertical="center"/>
    </xf>
    <xf numFmtId="44" fontId="6" fillId="2" borderId="2" xfId="1" applyNumberFormat="1" applyFont="1" applyFill="1" applyBorder="1" applyAlignment="1">
      <alignment horizontal="center" vertical="center"/>
    </xf>
    <xf numFmtId="44" fontId="6" fillId="2" borderId="25" xfId="2" applyFont="1" applyFill="1" applyBorder="1" applyAlignment="1">
      <alignment horizontal="center" vertical="center"/>
    </xf>
    <xf numFmtId="44" fontId="12" fillId="0" borderId="15" xfId="0" applyNumberFormat="1" applyFont="1" applyBorder="1" applyAlignment="1">
      <alignment horizontal="center" vertical="center"/>
    </xf>
    <xf numFmtId="44" fontId="4" fillId="0" borderId="9" xfId="7" applyFont="1" applyBorder="1" applyAlignment="1">
      <alignment horizontal="center" vertical="center" wrapText="1"/>
    </xf>
    <xf numFmtId="44" fontId="0" fillId="0" borderId="0" xfId="7" applyFont="1" applyAlignment="1">
      <alignment wrapText="1"/>
    </xf>
    <xf numFmtId="44" fontId="6" fillId="0" borderId="4" xfId="2" applyFont="1" applyFill="1" applyBorder="1" applyAlignment="1">
      <alignment horizontal="center" vertical="center"/>
    </xf>
    <xf numFmtId="44" fontId="6" fillId="0" borderId="37" xfId="2" applyFont="1" applyFill="1" applyBorder="1" applyAlignment="1">
      <alignment horizontal="center" vertical="center"/>
    </xf>
    <xf numFmtId="44" fontId="6" fillId="0" borderId="38" xfId="2" applyFont="1" applyFill="1" applyBorder="1" applyAlignment="1">
      <alignment horizontal="center" vertical="center"/>
    </xf>
    <xf numFmtId="44" fontId="6" fillId="0" borderId="39" xfId="2" applyFont="1" applyFill="1" applyBorder="1" applyAlignment="1">
      <alignment horizontal="center" vertical="center"/>
    </xf>
    <xf numFmtId="44" fontId="6" fillId="0" borderId="40" xfId="2" applyFont="1" applyFill="1" applyBorder="1" applyAlignment="1">
      <alignment horizontal="center" vertical="center"/>
    </xf>
    <xf numFmtId="44" fontId="6" fillId="0" borderId="41" xfId="2" applyFont="1" applyFill="1" applyBorder="1" applyAlignment="1">
      <alignment horizontal="center" vertical="center"/>
    </xf>
    <xf numFmtId="44" fontId="6" fillId="4" borderId="17" xfId="2" applyFont="1" applyFill="1" applyBorder="1" applyAlignment="1">
      <alignment horizontal="center" vertical="center"/>
    </xf>
    <xf numFmtId="44" fontId="6" fillId="4" borderId="1" xfId="2" applyFont="1" applyFill="1" applyBorder="1" applyAlignment="1">
      <alignment horizontal="center" vertical="center"/>
    </xf>
    <xf numFmtId="44" fontId="6" fillId="4" borderId="38" xfId="2" applyFont="1" applyFill="1" applyBorder="1" applyAlignment="1">
      <alignment horizontal="center" vertical="center"/>
    </xf>
    <xf numFmtId="44" fontId="7" fillId="0" borderId="9" xfId="2" applyFont="1" applyFill="1" applyBorder="1" applyAlignment="1">
      <alignment horizontal="center" vertical="center"/>
    </xf>
    <xf numFmtId="44" fontId="7" fillId="0" borderId="15" xfId="2" applyFont="1" applyFill="1" applyBorder="1" applyAlignment="1">
      <alignment horizontal="center" vertical="center"/>
    </xf>
    <xf numFmtId="44" fontId="7" fillId="0" borderId="36" xfId="2" applyFont="1" applyFill="1" applyBorder="1" applyAlignment="1">
      <alignment horizontal="center" vertical="center"/>
    </xf>
  </cellXfs>
  <cellStyles count="8">
    <cellStyle name="Milliers 2" xfId="4" xr:uid="{00000000-0005-0000-0000-000000000000}"/>
    <cellStyle name="Monétaire" xfId="7" builtinId="4"/>
    <cellStyle name="Monétaire 2" xfId="2" xr:uid="{00000000-0005-0000-0000-000002000000}"/>
    <cellStyle name="Normal" xfId="0" builtinId="0"/>
    <cellStyle name="Normal 2" xfId="1" xr:uid="{00000000-0005-0000-0000-000004000000}"/>
    <cellStyle name="Normal 3" xfId="6" xr:uid="{00000000-0005-0000-0000-000005000000}"/>
    <cellStyle name="Pourcentage" xfId="5" builtinId="5"/>
    <cellStyle name="Pourcentage 2" xfId="3" xr:uid="{00000000-0005-0000-0000-000007000000}"/>
  </cellStyles>
  <dxfs count="0"/>
  <tableStyles count="0" defaultTableStyle="TableStyleMedium9" defaultPivotStyle="PivotStyleLight16"/>
  <colors>
    <mruColors>
      <color rgb="FFFF8029"/>
      <color rgb="FFA5B5AC"/>
      <color rgb="FFE3C1F1"/>
      <color rgb="FFE8D9FF"/>
      <color rgb="FFFFD3BD"/>
      <color rgb="FFFFBA75"/>
      <color rgb="FFF2C076"/>
      <color rgb="FFD5A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Carlier Benoit" id="{5C3F92F8-B8AC-4A07-A5AF-A8DC0DBBD98F}" userId="S::benoit.carlier@seinegrandslacs.fr::2f95acb4-4e6e-4e46-a2ac-b6b75dc725b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U31" dT="2025-02-12T14:48:44.68" personId="{5C3F92F8-B8AC-4A07-A5AF-A8DC0DBBD98F}" id="{8BDF1524-50B2-412E-90EB-C4004EBD747A}">
    <text>Guillaume : il y a un pépin ici.</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C3BF8-BF45-4253-8C55-D01942B13642}">
  <dimension ref="A1:A11"/>
  <sheetViews>
    <sheetView topLeftCell="A4" workbookViewId="0">
      <selection activeCell="A6" sqref="A6"/>
    </sheetView>
  </sheetViews>
  <sheetFormatPr baseColWidth="10" defaultRowHeight="15" x14ac:dyDescent="0.25"/>
  <cols>
    <col min="1" max="1" width="185.85546875" customWidth="1"/>
  </cols>
  <sheetData>
    <row r="1" spans="1:1" ht="18.75" x14ac:dyDescent="0.3">
      <c r="A1" s="132" t="s">
        <v>151</v>
      </c>
    </row>
    <row r="2" spans="1:1" ht="7.5" customHeight="1" x14ac:dyDescent="0.25"/>
    <row r="3" spans="1:1" ht="51.75" customHeight="1" x14ac:dyDescent="0.25">
      <c r="A3" s="136" t="s">
        <v>144</v>
      </c>
    </row>
    <row r="4" spans="1:1" ht="30" customHeight="1" x14ac:dyDescent="0.25">
      <c r="A4" s="137" t="s">
        <v>145</v>
      </c>
    </row>
    <row r="5" spans="1:1" ht="81" customHeight="1" x14ac:dyDescent="0.25">
      <c r="A5" s="138" t="s">
        <v>146</v>
      </c>
    </row>
    <row r="6" spans="1:1" ht="60" customHeight="1" x14ac:dyDescent="0.25">
      <c r="A6" s="138" t="s">
        <v>147</v>
      </c>
    </row>
    <row r="7" spans="1:1" ht="43.5" customHeight="1" x14ac:dyDescent="0.25">
      <c r="A7" s="136" t="s">
        <v>148</v>
      </c>
    </row>
    <row r="8" spans="1:1" ht="30" customHeight="1" x14ac:dyDescent="0.25">
      <c r="A8" s="136" t="s">
        <v>142</v>
      </c>
    </row>
    <row r="9" spans="1:1" ht="30" customHeight="1" x14ac:dyDescent="0.25">
      <c r="A9" s="136" t="s">
        <v>149</v>
      </c>
    </row>
    <row r="10" spans="1:1" ht="30" customHeight="1" x14ac:dyDescent="0.25">
      <c r="A10" s="136" t="s">
        <v>143</v>
      </c>
    </row>
    <row r="11" spans="1:1" ht="54.75" customHeight="1" x14ac:dyDescent="0.25">
      <c r="A11" s="138" t="s">
        <v>150</v>
      </c>
    </row>
  </sheetData>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6C72C-563D-446C-9058-39F5DBA913B9}">
  <dimension ref="A1:AC62"/>
  <sheetViews>
    <sheetView topLeftCell="A29" zoomScale="60" zoomScaleNormal="60" workbookViewId="0">
      <selection activeCell="D47" sqref="D47"/>
    </sheetView>
  </sheetViews>
  <sheetFormatPr baseColWidth="10" defaultRowHeight="15" x14ac:dyDescent="0.25"/>
  <cols>
    <col min="1" max="1" width="31.5703125" bestFit="1" customWidth="1"/>
    <col min="2" max="2" width="50.28515625" customWidth="1"/>
    <col min="3" max="3" width="31.85546875" customWidth="1"/>
    <col min="4" max="6" width="20.140625" style="99" customWidth="1"/>
    <col min="7" max="8" width="20.140625" customWidth="1"/>
    <col min="9" max="9" width="19.7109375" customWidth="1"/>
    <col min="10" max="11" width="17.7109375" customWidth="1"/>
    <col min="12" max="12" width="19.42578125" customWidth="1"/>
    <col min="13" max="21" width="17.7109375" customWidth="1"/>
    <col min="22" max="25" width="17.7109375" style="99" customWidth="1"/>
    <col min="26" max="27" width="17.7109375" style="106" customWidth="1"/>
    <col min="28" max="29" width="14" bestFit="1" customWidth="1"/>
  </cols>
  <sheetData>
    <row r="1" spans="1:29" ht="64.5" customHeight="1" thickBot="1" x14ac:dyDescent="0.3">
      <c r="A1" s="6" t="s">
        <v>50</v>
      </c>
      <c r="B1" s="94" t="s">
        <v>46</v>
      </c>
      <c r="C1" s="7" t="s">
        <v>51</v>
      </c>
      <c r="D1" s="184" t="s">
        <v>159</v>
      </c>
      <c r="E1" s="97" t="s">
        <v>160</v>
      </c>
      <c r="F1" s="98" t="s">
        <v>161</v>
      </c>
      <c r="G1" s="95" t="s">
        <v>138</v>
      </c>
      <c r="H1" s="5" t="s">
        <v>139</v>
      </c>
      <c r="I1" s="96" t="s">
        <v>140</v>
      </c>
      <c r="J1" s="95" t="s">
        <v>152</v>
      </c>
      <c r="K1" s="94" t="s">
        <v>53</v>
      </c>
      <c r="L1" s="5" t="s">
        <v>153</v>
      </c>
      <c r="M1" s="94" t="s">
        <v>53</v>
      </c>
      <c r="N1" s="5" t="s">
        <v>154</v>
      </c>
      <c r="O1" s="94" t="s">
        <v>53</v>
      </c>
      <c r="P1" s="5" t="s">
        <v>155</v>
      </c>
      <c r="Q1" s="94" t="s">
        <v>53</v>
      </c>
      <c r="R1" s="5" t="s">
        <v>156</v>
      </c>
      <c r="S1" s="7" t="s">
        <v>53</v>
      </c>
      <c r="T1" s="6" t="s">
        <v>129</v>
      </c>
      <c r="U1" s="5" t="s">
        <v>130</v>
      </c>
      <c r="V1" s="97" t="s">
        <v>131</v>
      </c>
      <c r="W1" s="97" t="s">
        <v>134</v>
      </c>
      <c r="X1" s="97" t="s">
        <v>132</v>
      </c>
      <c r="Y1" s="97" t="s">
        <v>135</v>
      </c>
      <c r="Z1" s="107" t="s">
        <v>133</v>
      </c>
      <c r="AA1" s="98" t="s">
        <v>136</v>
      </c>
    </row>
    <row r="2" spans="1:29" ht="39.950000000000003" customHeight="1" x14ac:dyDescent="0.25">
      <c r="A2" s="90" t="s">
        <v>57</v>
      </c>
      <c r="B2" s="91" t="s">
        <v>58</v>
      </c>
      <c r="C2" s="173" t="s">
        <v>59</v>
      </c>
      <c r="D2" s="186">
        <v>200000</v>
      </c>
      <c r="E2" s="191">
        <f>D2*1.2</f>
        <v>240000</v>
      </c>
      <c r="F2" s="187">
        <f>E2</f>
        <v>240000</v>
      </c>
      <c r="G2" s="176">
        <v>186587.13333333333</v>
      </c>
      <c r="H2" s="112">
        <f>1.2*G2</f>
        <v>223904.56</v>
      </c>
      <c r="I2" s="109">
        <f>H2</f>
        <v>223904.56</v>
      </c>
      <c r="J2" s="108">
        <f>I2-(L2+N2)</f>
        <v>88685.56</v>
      </c>
      <c r="K2" s="115">
        <f>J2/I2</f>
        <v>0.3960864396866236</v>
      </c>
      <c r="L2" s="15">
        <v>105219</v>
      </c>
      <c r="M2" s="115">
        <f>L2/I2</f>
        <v>0.46992790142371377</v>
      </c>
      <c r="N2" s="14">
        <v>30000</v>
      </c>
      <c r="O2" s="115">
        <f>N2/I2</f>
        <v>0.13398565888966263</v>
      </c>
      <c r="P2" s="92">
        <f>Q2*I2</f>
        <v>0</v>
      </c>
      <c r="Q2" s="93">
        <v>0</v>
      </c>
      <c r="R2" s="92">
        <f>S2*I2</f>
        <v>0</v>
      </c>
      <c r="S2" s="8">
        <v>0</v>
      </c>
      <c r="T2" s="163">
        <v>76609.5</v>
      </c>
      <c r="U2" s="164">
        <f>L2-T2</f>
        <v>28609.5</v>
      </c>
      <c r="V2" s="164">
        <v>30000</v>
      </c>
      <c r="W2" s="164">
        <f>N2-V2</f>
        <v>0</v>
      </c>
      <c r="X2" s="165" t="s">
        <v>128</v>
      </c>
      <c r="Y2" s="165" t="s">
        <v>128</v>
      </c>
      <c r="Z2" s="165" t="s">
        <v>128</v>
      </c>
      <c r="AA2" s="166" t="s">
        <v>128</v>
      </c>
    </row>
    <row r="3" spans="1:29" ht="39.950000000000003" customHeight="1" x14ac:dyDescent="0.25">
      <c r="A3" s="83" t="s">
        <v>60</v>
      </c>
      <c r="B3" s="65" t="s">
        <v>61</v>
      </c>
      <c r="C3" s="174" t="s">
        <v>59</v>
      </c>
      <c r="D3" s="111">
        <f>E3/1.2</f>
        <v>41666.666666666672</v>
      </c>
      <c r="E3" s="103">
        <v>50000</v>
      </c>
      <c r="F3" s="188">
        <f>E3</f>
        <v>50000</v>
      </c>
      <c r="G3" s="177">
        <v>15410</v>
      </c>
      <c r="H3" s="103">
        <f t="shared" ref="H3:H4" si="0">1.2*G3</f>
        <v>18492</v>
      </c>
      <c r="I3" s="78">
        <f>H3</f>
        <v>18492</v>
      </c>
      <c r="J3" s="87">
        <f>I3*K3</f>
        <v>9246</v>
      </c>
      <c r="K3" s="3">
        <f t="shared" ref="K3:K8" si="1">1-(M3+Q3+S3)</f>
        <v>0.5</v>
      </c>
      <c r="L3" s="10">
        <f>M3*I3</f>
        <v>9246</v>
      </c>
      <c r="M3" s="3">
        <v>0.5</v>
      </c>
      <c r="N3" s="70">
        <f>O3*K3</f>
        <v>0</v>
      </c>
      <c r="O3" s="69">
        <v>0</v>
      </c>
      <c r="P3" s="68">
        <f>Q3*I3</f>
        <v>0</v>
      </c>
      <c r="Q3" s="69">
        <v>0</v>
      </c>
      <c r="R3" s="68">
        <f>S3*I3</f>
        <v>0</v>
      </c>
      <c r="S3" s="11">
        <v>0</v>
      </c>
      <c r="T3" s="150">
        <v>0</v>
      </c>
      <c r="U3" s="148">
        <v>0</v>
      </c>
      <c r="V3" s="147" t="s">
        <v>128</v>
      </c>
      <c r="W3" s="147" t="s">
        <v>128</v>
      </c>
      <c r="X3" s="147" t="s">
        <v>128</v>
      </c>
      <c r="Y3" s="147" t="s">
        <v>128</v>
      </c>
      <c r="Z3" s="147" t="s">
        <v>128</v>
      </c>
      <c r="AA3" s="151" t="s">
        <v>128</v>
      </c>
    </row>
    <row r="4" spans="1:29" ht="39.950000000000003" customHeight="1" x14ac:dyDescent="0.25">
      <c r="A4" s="83" t="s">
        <v>119</v>
      </c>
      <c r="B4" s="65" t="s">
        <v>120</v>
      </c>
      <c r="C4" s="174" t="s">
        <v>59</v>
      </c>
      <c r="D4" s="111">
        <v>17500</v>
      </c>
      <c r="E4" s="103">
        <f t="shared" ref="E4:E42" si="2">D4*1.2</f>
        <v>21000</v>
      </c>
      <c r="F4" s="188">
        <f>E4</f>
        <v>21000</v>
      </c>
      <c r="G4" s="177">
        <v>15839.716666666667</v>
      </c>
      <c r="H4" s="103">
        <f t="shared" si="0"/>
        <v>19007.66</v>
      </c>
      <c r="I4" s="110">
        <f>G4</f>
        <v>15839.716666666667</v>
      </c>
      <c r="J4" s="87">
        <f>I4*K4</f>
        <v>7919.8583333333336</v>
      </c>
      <c r="K4" s="3">
        <f t="shared" si="1"/>
        <v>0.5</v>
      </c>
      <c r="L4" s="10">
        <f>M4*I4</f>
        <v>7919.8583333333336</v>
      </c>
      <c r="M4" s="3">
        <v>0.5</v>
      </c>
      <c r="N4" s="70">
        <f>O4*K4</f>
        <v>0</v>
      </c>
      <c r="O4" s="69">
        <v>0</v>
      </c>
      <c r="P4" s="68">
        <f>Q4*I4</f>
        <v>0</v>
      </c>
      <c r="Q4" s="69">
        <v>0</v>
      </c>
      <c r="R4" s="68">
        <f>S4*I4</f>
        <v>0</v>
      </c>
      <c r="S4" s="11">
        <v>0</v>
      </c>
      <c r="T4" s="150">
        <v>0</v>
      </c>
      <c r="U4" s="148">
        <f>L4-T4</f>
        <v>7919.8583333333336</v>
      </c>
      <c r="V4" s="147" t="s">
        <v>128</v>
      </c>
      <c r="W4" s="147" t="s">
        <v>128</v>
      </c>
      <c r="X4" s="147" t="s">
        <v>128</v>
      </c>
      <c r="Y4" s="147" t="s">
        <v>128</v>
      </c>
      <c r="Z4" s="147" t="s">
        <v>128</v>
      </c>
      <c r="AA4" s="151" t="s">
        <v>128</v>
      </c>
    </row>
    <row r="5" spans="1:29" ht="39.950000000000003" customHeight="1" x14ac:dyDescent="0.25">
      <c r="A5" s="83" t="s">
        <v>124</v>
      </c>
      <c r="B5" s="66" t="s">
        <v>62</v>
      </c>
      <c r="C5" s="174" t="s">
        <v>63</v>
      </c>
      <c r="D5" s="111">
        <f>E5/1.2</f>
        <v>1083333.3333333335</v>
      </c>
      <c r="E5" s="103">
        <v>1300000</v>
      </c>
      <c r="F5" s="188">
        <f>D5</f>
        <v>1083333.3333333335</v>
      </c>
      <c r="G5" s="177">
        <v>742520</v>
      </c>
      <c r="H5" s="103">
        <f>G5*1.2</f>
        <v>891024</v>
      </c>
      <c r="I5" s="78">
        <f>H5</f>
        <v>891024</v>
      </c>
      <c r="J5" s="87">
        <f>I5*K5</f>
        <v>178204.79999999996</v>
      </c>
      <c r="K5" s="159">
        <f t="shared" si="1"/>
        <v>0.19999999999999996</v>
      </c>
      <c r="L5" s="103">
        <f>M5*I5</f>
        <v>445512</v>
      </c>
      <c r="M5" s="3">
        <v>0.5</v>
      </c>
      <c r="N5" s="70">
        <f>G5*O5</f>
        <v>0</v>
      </c>
      <c r="O5" s="71">
        <v>0</v>
      </c>
      <c r="P5" s="103">
        <f>I5*Q5</f>
        <v>28512.768</v>
      </c>
      <c r="Q5" s="160">
        <v>3.2000000000000001E-2</v>
      </c>
      <c r="R5" s="1">
        <f>S5*G5</f>
        <v>198995.36000000002</v>
      </c>
      <c r="S5" s="9">
        <v>0.26800000000000002</v>
      </c>
      <c r="T5" s="150">
        <v>194857.5</v>
      </c>
      <c r="U5" s="148">
        <f>L5-T5</f>
        <v>250654.5</v>
      </c>
      <c r="V5" s="147" t="s">
        <v>128</v>
      </c>
      <c r="W5" s="147" t="s">
        <v>128</v>
      </c>
      <c r="X5" s="148">
        <f>3470.46/2</f>
        <v>1735.23</v>
      </c>
      <c r="Y5" s="148">
        <f>P5-X5</f>
        <v>26777.538</v>
      </c>
      <c r="Z5" s="148">
        <v>124731</v>
      </c>
      <c r="AA5" s="149">
        <f>R5-Z5</f>
        <v>74264.360000000015</v>
      </c>
      <c r="AC5" s="100"/>
    </row>
    <row r="6" spans="1:29" ht="39.950000000000003" customHeight="1" x14ac:dyDescent="0.25">
      <c r="A6" s="83" t="s">
        <v>125</v>
      </c>
      <c r="B6" s="66" t="s">
        <v>126</v>
      </c>
      <c r="C6" s="174" t="s">
        <v>137</v>
      </c>
      <c r="D6" s="192"/>
      <c r="E6" s="193"/>
      <c r="F6" s="194"/>
      <c r="G6" s="177">
        <v>438095</v>
      </c>
      <c r="H6" s="16">
        <f>G6*1.2</f>
        <v>525714</v>
      </c>
      <c r="I6" s="78">
        <f>H6</f>
        <v>525714</v>
      </c>
      <c r="J6" s="87">
        <f>K6*I6</f>
        <v>307314</v>
      </c>
      <c r="K6" s="17">
        <f t="shared" si="1"/>
        <v>0.58456499161140851</v>
      </c>
      <c r="L6" s="148">
        <v>155550</v>
      </c>
      <c r="M6" s="161">
        <f>L6/I6</f>
        <v>0.29588331298006137</v>
      </c>
      <c r="N6" s="70">
        <v>0</v>
      </c>
      <c r="O6" s="71">
        <v>0</v>
      </c>
      <c r="P6" s="1">
        <v>0</v>
      </c>
      <c r="Q6" s="162">
        <v>0</v>
      </c>
      <c r="R6" s="1">
        <v>62850</v>
      </c>
      <c r="S6" s="9">
        <f>R6/I6</f>
        <v>0.11955169540853011</v>
      </c>
      <c r="T6" s="150">
        <v>28920.2</v>
      </c>
      <c r="U6" s="148">
        <f>L6-T6</f>
        <v>126629.8</v>
      </c>
      <c r="V6" s="147" t="s">
        <v>128</v>
      </c>
      <c r="W6" s="147" t="s">
        <v>128</v>
      </c>
      <c r="X6" s="147" t="s">
        <v>128</v>
      </c>
      <c r="Y6" s="147" t="s">
        <v>128</v>
      </c>
      <c r="Z6" s="148">
        <v>24222</v>
      </c>
      <c r="AA6" s="149">
        <f>R6-Z6</f>
        <v>38628</v>
      </c>
      <c r="AC6" s="100"/>
    </row>
    <row r="7" spans="1:29" ht="39.950000000000003" customHeight="1" x14ac:dyDescent="0.25">
      <c r="A7" s="83" t="s">
        <v>64</v>
      </c>
      <c r="B7" s="67" t="s">
        <v>3</v>
      </c>
      <c r="C7" s="174" t="s">
        <v>63</v>
      </c>
      <c r="D7" s="111">
        <v>50000</v>
      </c>
      <c r="E7" s="103">
        <f t="shared" si="2"/>
        <v>60000</v>
      </c>
      <c r="F7" s="188">
        <f>D7</f>
        <v>50000</v>
      </c>
      <c r="G7" s="177">
        <v>21550</v>
      </c>
      <c r="H7" s="16">
        <f t="shared" ref="H7:H15" si="3">G7*1.2</f>
        <v>25860</v>
      </c>
      <c r="I7" s="78">
        <f>H7</f>
        <v>25860</v>
      </c>
      <c r="J7" s="87">
        <f t="shared" ref="J7:J15" si="4">I7*K7</f>
        <v>5174.5860000000011</v>
      </c>
      <c r="K7" s="3">
        <f t="shared" si="1"/>
        <v>0.20010000000000006</v>
      </c>
      <c r="L7" s="103">
        <f>I7*M7</f>
        <v>17843.399999999998</v>
      </c>
      <c r="M7" s="3">
        <v>0.69</v>
      </c>
      <c r="N7" s="70">
        <f t="shared" ref="N7:N20" si="5">G7*O7</f>
        <v>0</v>
      </c>
      <c r="O7" s="71">
        <v>0</v>
      </c>
      <c r="P7" s="1">
        <v>2000</v>
      </c>
      <c r="Q7" s="17">
        <v>0.1099</v>
      </c>
      <c r="R7" s="73">
        <f>I7*S7</f>
        <v>0</v>
      </c>
      <c r="S7" s="11">
        <v>0</v>
      </c>
      <c r="T7" s="150">
        <v>0</v>
      </c>
      <c r="U7" s="148">
        <f>L7-T7</f>
        <v>17843.399999999998</v>
      </c>
      <c r="V7" s="147" t="s">
        <v>128</v>
      </c>
      <c r="W7" s="147" t="s">
        <v>128</v>
      </c>
      <c r="X7" s="153">
        <v>0</v>
      </c>
      <c r="Y7" s="148">
        <f>P7-X7</f>
        <v>2000</v>
      </c>
      <c r="Z7" s="147" t="s">
        <v>128</v>
      </c>
      <c r="AA7" s="151" t="s">
        <v>128</v>
      </c>
      <c r="AC7" s="100"/>
    </row>
    <row r="8" spans="1:29" ht="39.950000000000003" customHeight="1" x14ac:dyDescent="0.25">
      <c r="A8" s="83" t="s">
        <v>65</v>
      </c>
      <c r="B8" s="67" t="s">
        <v>66</v>
      </c>
      <c r="C8" s="174" t="s">
        <v>26</v>
      </c>
      <c r="D8" s="111">
        <v>50000</v>
      </c>
      <c r="E8" s="103">
        <f t="shared" si="2"/>
        <v>60000</v>
      </c>
      <c r="F8" s="188">
        <f>E8</f>
        <v>60000</v>
      </c>
      <c r="G8" s="177">
        <v>20375</v>
      </c>
      <c r="H8" s="16">
        <f t="shared" si="3"/>
        <v>24450</v>
      </c>
      <c r="I8" s="78">
        <f>H8</f>
        <v>24450</v>
      </c>
      <c r="J8" s="87">
        <f t="shared" si="4"/>
        <v>12225</v>
      </c>
      <c r="K8" s="3">
        <f t="shared" si="1"/>
        <v>0.5</v>
      </c>
      <c r="L8" s="103">
        <f>M8*I8</f>
        <v>12225</v>
      </c>
      <c r="M8" s="3">
        <v>0.5</v>
      </c>
      <c r="N8" s="70">
        <f t="shared" si="5"/>
        <v>0</v>
      </c>
      <c r="O8" s="71">
        <v>0</v>
      </c>
      <c r="P8" s="73">
        <f>Q8*I8</f>
        <v>0</v>
      </c>
      <c r="Q8" s="69">
        <v>0</v>
      </c>
      <c r="R8" s="73">
        <f>I8*S8</f>
        <v>0</v>
      </c>
      <c r="S8" s="11">
        <v>0</v>
      </c>
      <c r="T8" s="150">
        <v>0</v>
      </c>
      <c r="U8" s="148">
        <v>30000</v>
      </c>
      <c r="V8" s="147" t="s">
        <v>128</v>
      </c>
      <c r="W8" s="147" t="s">
        <v>128</v>
      </c>
      <c r="X8" s="147" t="s">
        <v>128</v>
      </c>
      <c r="Y8" s="147" t="s">
        <v>128</v>
      </c>
      <c r="Z8" s="147" t="s">
        <v>128</v>
      </c>
      <c r="AA8" s="151" t="s">
        <v>128</v>
      </c>
      <c r="AB8" s="100"/>
      <c r="AC8" s="100"/>
    </row>
    <row r="9" spans="1:29" ht="39.950000000000003" customHeight="1" x14ac:dyDescent="0.25">
      <c r="A9" s="84" t="s">
        <v>67</v>
      </c>
      <c r="B9" s="66" t="s">
        <v>4</v>
      </c>
      <c r="C9" s="174" t="s">
        <v>27</v>
      </c>
      <c r="D9" s="111">
        <v>15000</v>
      </c>
      <c r="E9" s="103">
        <f t="shared" si="2"/>
        <v>18000</v>
      </c>
      <c r="F9" s="188">
        <f>D9</f>
        <v>15000</v>
      </c>
      <c r="G9" s="177">
        <v>15606.833333333334</v>
      </c>
      <c r="H9" s="16">
        <f t="shared" si="3"/>
        <v>18728.2</v>
      </c>
      <c r="I9" s="78">
        <f t="shared" ref="I9:I15" si="6">G9</f>
        <v>15606.833333333334</v>
      </c>
      <c r="J9" s="87">
        <f>I9-(L9+P9+R9)</f>
        <v>5460.8333333333339</v>
      </c>
      <c r="K9" s="3">
        <f>J9/I9</f>
        <v>0.34990015057506862</v>
      </c>
      <c r="L9" s="103">
        <v>5712</v>
      </c>
      <c r="M9" s="17">
        <f>L9/I9</f>
        <v>0.36599352847577449</v>
      </c>
      <c r="N9" s="70">
        <f t="shared" si="5"/>
        <v>0</v>
      </c>
      <c r="O9" s="71">
        <v>0</v>
      </c>
      <c r="P9" s="1">
        <v>2934</v>
      </c>
      <c r="Q9" s="17">
        <f>P9/I9</f>
        <v>0.18799457502589678</v>
      </c>
      <c r="R9" s="1">
        <f>0.1*15000</f>
        <v>1500</v>
      </c>
      <c r="S9" s="9">
        <f>R9/I9</f>
        <v>9.6111745923260106E-2</v>
      </c>
      <c r="T9" s="150">
        <v>0</v>
      </c>
      <c r="U9" s="148">
        <f>L9-T9</f>
        <v>5712</v>
      </c>
      <c r="V9" s="147" t="s">
        <v>128</v>
      </c>
      <c r="W9" s="147" t="s">
        <v>128</v>
      </c>
      <c r="X9" s="153">
        <v>0</v>
      </c>
      <c r="Y9" s="148">
        <f>P9-X9</f>
        <v>2934</v>
      </c>
      <c r="Z9" s="148">
        <v>0</v>
      </c>
      <c r="AA9" s="149">
        <f>R9-Z9</f>
        <v>1500</v>
      </c>
      <c r="AC9" s="100"/>
    </row>
    <row r="10" spans="1:29" ht="39.950000000000003" customHeight="1" x14ac:dyDescent="0.25">
      <c r="A10" s="83" t="s">
        <v>68</v>
      </c>
      <c r="B10" s="66" t="s">
        <v>5</v>
      </c>
      <c r="C10" s="174" t="s">
        <v>28</v>
      </c>
      <c r="D10" s="111">
        <f>E10/1.2</f>
        <v>33333.333333333336</v>
      </c>
      <c r="E10" s="103">
        <v>40000</v>
      </c>
      <c r="F10" s="188">
        <f>D10</f>
        <v>33333.333333333336</v>
      </c>
      <c r="G10" s="177">
        <v>12266.5</v>
      </c>
      <c r="H10" s="16">
        <f t="shared" si="3"/>
        <v>14719.8</v>
      </c>
      <c r="I10" s="78">
        <f>H10</f>
        <v>14719.8</v>
      </c>
      <c r="J10" s="87">
        <f t="shared" si="4"/>
        <v>2943.9599999999991</v>
      </c>
      <c r="K10" s="3">
        <f>1-(M10+Q10+S10)</f>
        <v>0.19999999999999996</v>
      </c>
      <c r="L10" s="103">
        <f>I10*M10</f>
        <v>7359.9</v>
      </c>
      <c r="M10" s="3">
        <v>0.5</v>
      </c>
      <c r="N10" s="70">
        <f t="shared" si="5"/>
        <v>0</v>
      </c>
      <c r="O10" s="71">
        <v>0</v>
      </c>
      <c r="P10" s="73">
        <f t="shared" ref="P10:P15" si="7">Q10*I10</f>
        <v>0</v>
      </c>
      <c r="Q10" s="69">
        <v>0</v>
      </c>
      <c r="R10" s="1">
        <f>I10*S10</f>
        <v>4415.9399999999996</v>
      </c>
      <c r="S10" s="12">
        <v>0.3</v>
      </c>
      <c r="T10" s="150">
        <v>0</v>
      </c>
      <c r="U10" s="148">
        <f>L10-T10</f>
        <v>7359.9</v>
      </c>
      <c r="V10" s="147" t="s">
        <v>128</v>
      </c>
      <c r="W10" s="147" t="s">
        <v>128</v>
      </c>
      <c r="X10" s="147" t="s">
        <v>128</v>
      </c>
      <c r="Y10" s="147" t="s">
        <v>128</v>
      </c>
      <c r="Z10" s="148">
        <v>0</v>
      </c>
      <c r="AA10" s="149">
        <f>R10-Z10</f>
        <v>4415.9399999999996</v>
      </c>
    </row>
    <row r="11" spans="1:29" ht="39.950000000000003" customHeight="1" x14ac:dyDescent="0.25">
      <c r="A11" s="83" t="s">
        <v>69</v>
      </c>
      <c r="B11" s="66" t="s">
        <v>6</v>
      </c>
      <c r="C11" s="174" t="s">
        <v>29</v>
      </c>
      <c r="D11" s="111">
        <v>12500</v>
      </c>
      <c r="E11" s="103">
        <f t="shared" si="2"/>
        <v>15000</v>
      </c>
      <c r="F11" s="188">
        <f>D11</f>
        <v>12500</v>
      </c>
      <c r="G11" s="177">
        <v>0</v>
      </c>
      <c r="H11" s="16">
        <f t="shared" si="3"/>
        <v>0</v>
      </c>
      <c r="I11" s="78">
        <f>H11</f>
        <v>0</v>
      </c>
      <c r="J11" s="87">
        <f t="shared" si="4"/>
        <v>0</v>
      </c>
      <c r="K11" s="3">
        <v>0</v>
      </c>
      <c r="L11" s="103">
        <f>I11*M11</f>
        <v>0</v>
      </c>
      <c r="M11" s="3">
        <v>0</v>
      </c>
      <c r="N11" s="70">
        <f t="shared" si="5"/>
        <v>0</v>
      </c>
      <c r="O11" s="71">
        <v>0</v>
      </c>
      <c r="P11" s="73">
        <f t="shared" si="7"/>
        <v>0</v>
      </c>
      <c r="Q11" s="69">
        <v>0</v>
      </c>
      <c r="R11" s="73">
        <f>I11*S11</f>
        <v>0</v>
      </c>
      <c r="S11" s="11">
        <v>0</v>
      </c>
      <c r="T11" s="167" t="s">
        <v>128</v>
      </c>
      <c r="U11" s="147" t="s">
        <v>128</v>
      </c>
      <c r="V11" s="147" t="s">
        <v>128</v>
      </c>
      <c r="W11" s="147" t="s">
        <v>128</v>
      </c>
      <c r="X11" s="147" t="s">
        <v>128</v>
      </c>
      <c r="Y11" s="147" t="s">
        <v>128</v>
      </c>
      <c r="Z11" s="147" t="s">
        <v>128</v>
      </c>
      <c r="AA11" s="151" t="s">
        <v>128</v>
      </c>
    </row>
    <row r="12" spans="1:29" ht="39.950000000000003" customHeight="1" x14ac:dyDescent="0.25">
      <c r="A12" s="83" t="s">
        <v>70</v>
      </c>
      <c r="B12" s="66" t="s">
        <v>7</v>
      </c>
      <c r="C12" s="174" t="s">
        <v>30</v>
      </c>
      <c r="D12" s="111">
        <v>20000</v>
      </c>
      <c r="E12" s="103">
        <f t="shared" si="2"/>
        <v>24000</v>
      </c>
      <c r="F12" s="188">
        <f>D12</f>
        <v>20000</v>
      </c>
      <c r="G12" s="177">
        <v>14964</v>
      </c>
      <c r="H12" s="16">
        <f t="shared" si="3"/>
        <v>17956.8</v>
      </c>
      <c r="I12" s="78">
        <f t="shared" si="6"/>
        <v>14964</v>
      </c>
      <c r="J12" s="87">
        <f t="shared" si="4"/>
        <v>3606.6</v>
      </c>
      <c r="K12" s="3">
        <f>1-(M12+Q12+S12)</f>
        <v>0.24101844426623897</v>
      </c>
      <c r="L12" s="103">
        <f>I12*M12</f>
        <v>7482</v>
      </c>
      <c r="M12" s="3">
        <v>0.5</v>
      </c>
      <c r="N12" s="70">
        <f t="shared" si="5"/>
        <v>0</v>
      </c>
      <c r="O12" s="71">
        <v>0</v>
      </c>
      <c r="P12" s="1">
        <v>2379</v>
      </c>
      <c r="Q12" s="17">
        <f>P12/I12</f>
        <v>0.15898155573376102</v>
      </c>
      <c r="R12" s="1">
        <f>I12*S12</f>
        <v>1496.4</v>
      </c>
      <c r="S12" s="12">
        <v>0.1</v>
      </c>
      <c r="T12" s="150">
        <v>0</v>
      </c>
      <c r="U12" s="148">
        <f>L12-T12</f>
        <v>7482</v>
      </c>
      <c r="V12" s="147" t="s">
        <v>128</v>
      </c>
      <c r="W12" s="147" t="s">
        <v>128</v>
      </c>
      <c r="X12" s="153">
        <v>0</v>
      </c>
      <c r="Y12" s="148">
        <f>P12-X12</f>
        <v>2379</v>
      </c>
      <c r="Z12" s="148">
        <v>0</v>
      </c>
      <c r="AA12" s="149">
        <f>R12-Z12</f>
        <v>1496.4</v>
      </c>
    </row>
    <row r="13" spans="1:29" ht="39.950000000000003" customHeight="1" x14ac:dyDescent="0.25">
      <c r="A13" s="83" t="s">
        <v>71</v>
      </c>
      <c r="B13" s="66" t="s">
        <v>8</v>
      </c>
      <c r="C13" s="174" t="s">
        <v>31</v>
      </c>
      <c r="D13" s="111">
        <v>5000</v>
      </c>
      <c r="E13" s="103">
        <f t="shared" si="2"/>
        <v>6000</v>
      </c>
      <c r="F13" s="188">
        <f t="shared" ref="F13:F16" si="8">D13</f>
        <v>5000</v>
      </c>
      <c r="G13" s="177">
        <v>8188.0000000000009</v>
      </c>
      <c r="H13" s="16">
        <f t="shared" si="3"/>
        <v>9825.6</v>
      </c>
      <c r="I13" s="78">
        <f t="shared" si="6"/>
        <v>8188.0000000000009</v>
      </c>
      <c r="J13" s="87">
        <f>I13-(L13+R13)</f>
        <v>4188.0000000000009</v>
      </c>
      <c r="K13" s="3">
        <f>J13/I13</f>
        <v>0.51148021494870544</v>
      </c>
      <c r="L13" s="103">
        <f>5000*0.5</f>
        <v>2500</v>
      </c>
      <c r="M13" s="3">
        <f>L13/I13</f>
        <v>0.30532486565705907</v>
      </c>
      <c r="N13" s="70">
        <f t="shared" si="5"/>
        <v>0</v>
      </c>
      <c r="O13" s="71">
        <v>0</v>
      </c>
      <c r="P13" s="73">
        <f t="shared" si="7"/>
        <v>0</v>
      </c>
      <c r="Q13" s="69">
        <v>0</v>
      </c>
      <c r="R13" s="1">
        <f>5000*0.3</f>
        <v>1500</v>
      </c>
      <c r="S13" s="12">
        <f>R13/I13</f>
        <v>0.18319491939423543</v>
      </c>
      <c r="T13" s="150">
        <v>0</v>
      </c>
      <c r="U13" s="148">
        <f>L13-T13</f>
        <v>2500</v>
      </c>
      <c r="V13" s="147" t="s">
        <v>128</v>
      </c>
      <c r="W13" s="147" t="s">
        <v>128</v>
      </c>
      <c r="X13" s="147" t="s">
        <v>128</v>
      </c>
      <c r="Y13" s="147" t="s">
        <v>128</v>
      </c>
      <c r="Z13" s="148">
        <v>0</v>
      </c>
      <c r="AA13" s="149">
        <f>R13-Z13</f>
        <v>1500</v>
      </c>
      <c r="AC13" s="114"/>
    </row>
    <row r="14" spans="1:29" ht="39.950000000000003" customHeight="1" x14ac:dyDescent="0.25">
      <c r="A14" s="83" t="s">
        <v>72</v>
      </c>
      <c r="B14" s="66" t="s">
        <v>9</v>
      </c>
      <c r="C14" s="174" t="s">
        <v>32</v>
      </c>
      <c r="D14" s="111">
        <v>7500</v>
      </c>
      <c r="E14" s="103">
        <f t="shared" si="2"/>
        <v>9000</v>
      </c>
      <c r="F14" s="188">
        <f t="shared" si="8"/>
        <v>7500</v>
      </c>
      <c r="G14" s="177">
        <v>7600</v>
      </c>
      <c r="H14" s="16">
        <f t="shared" si="3"/>
        <v>9120</v>
      </c>
      <c r="I14" s="78">
        <f t="shared" si="6"/>
        <v>7600</v>
      </c>
      <c r="J14" s="87">
        <f>I14-(L14+R14)</f>
        <v>1600</v>
      </c>
      <c r="K14" s="3">
        <f>J14/I14</f>
        <v>0.21052631578947367</v>
      </c>
      <c r="L14" s="103">
        <f>7500*0.4</f>
        <v>3000</v>
      </c>
      <c r="M14" s="17">
        <f>L14/I14</f>
        <v>0.39473684210526316</v>
      </c>
      <c r="N14" s="70">
        <f t="shared" si="5"/>
        <v>0</v>
      </c>
      <c r="O14" s="71">
        <v>0</v>
      </c>
      <c r="P14" s="73">
        <f t="shared" si="7"/>
        <v>0</v>
      </c>
      <c r="Q14" s="69">
        <v>0</v>
      </c>
      <c r="R14" s="1">
        <f>7500*0.4</f>
        <v>3000</v>
      </c>
      <c r="S14" s="9">
        <f>R14/I14</f>
        <v>0.39473684210526316</v>
      </c>
      <c r="T14" s="150">
        <v>0</v>
      </c>
      <c r="U14" s="148">
        <f>L14-T14</f>
        <v>3000</v>
      </c>
      <c r="V14" s="147" t="s">
        <v>128</v>
      </c>
      <c r="W14" s="147" t="s">
        <v>128</v>
      </c>
      <c r="X14" s="147" t="s">
        <v>128</v>
      </c>
      <c r="Y14" s="147" t="s">
        <v>128</v>
      </c>
      <c r="Z14" s="148">
        <v>0</v>
      </c>
      <c r="AA14" s="149">
        <f>R14-Z14</f>
        <v>3000</v>
      </c>
    </row>
    <row r="15" spans="1:29" ht="39.950000000000003" customHeight="1" x14ac:dyDescent="0.25">
      <c r="A15" s="83" t="s">
        <v>73</v>
      </c>
      <c r="B15" s="66" t="s">
        <v>10</v>
      </c>
      <c r="C15" s="174" t="s">
        <v>33</v>
      </c>
      <c r="D15" s="111">
        <v>7500</v>
      </c>
      <c r="E15" s="103">
        <f t="shared" si="2"/>
        <v>9000</v>
      </c>
      <c r="F15" s="188">
        <f t="shared" si="8"/>
        <v>7500</v>
      </c>
      <c r="G15" s="177">
        <v>6402</v>
      </c>
      <c r="H15" s="16">
        <f t="shared" si="3"/>
        <v>7682.4</v>
      </c>
      <c r="I15" s="78">
        <f t="shared" si="6"/>
        <v>6402</v>
      </c>
      <c r="J15" s="87">
        <f t="shared" si="4"/>
        <v>1280.3999999999996</v>
      </c>
      <c r="K15" s="3">
        <f>1-(M15+Q15+S15)</f>
        <v>0.19999999999999996</v>
      </c>
      <c r="L15" s="135">
        <f>I15*M15</f>
        <v>0</v>
      </c>
      <c r="M15" s="69">
        <v>0</v>
      </c>
      <c r="N15" s="70">
        <f t="shared" si="5"/>
        <v>0</v>
      </c>
      <c r="O15" s="71">
        <v>0</v>
      </c>
      <c r="P15" s="73">
        <f t="shared" si="7"/>
        <v>0</v>
      </c>
      <c r="Q15" s="69">
        <v>0</v>
      </c>
      <c r="R15" s="1">
        <f>I15*S15</f>
        <v>5121.6000000000004</v>
      </c>
      <c r="S15" s="12">
        <v>0.8</v>
      </c>
      <c r="T15" s="147" t="s">
        <v>128</v>
      </c>
      <c r="U15" s="147" t="s">
        <v>128</v>
      </c>
      <c r="V15" s="147" t="s">
        <v>128</v>
      </c>
      <c r="W15" s="147" t="s">
        <v>128</v>
      </c>
      <c r="X15" s="147" t="s">
        <v>128</v>
      </c>
      <c r="Y15" s="147" t="s">
        <v>128</v>
      </c>
      <c r="Z15" s="148">
        <v>0</v>
      </c>
      <c r="AA15" s="149">
        <f>R15-Z15</f>
        <v>5121.6000000000004</v>
      </c>
    </row>
    <row r="16" spans="1:29" ht="39.950000000000003" customHeight="1" x14ac:dyDescent="0.25">
      <c r="A16" s="83" t="s">
        <v>75</v>
      </c>
      <c r="B16" s="67" t="s">
        <v>11</v>
      </c>
      <c r="C16" s="174" t="s">
        <v>63</v>
      </c>
      <c r="D16" s="111">
        <v>50000</v>
      </c>
      <c r="E16" s="103">
        <f t="shared" si="2"/>
        <v>60000</v>
      </c>
      <c r="F16" s="188">
        <f t="shared" si="8"/>
        <v>50000</v>
      </c>
      <c r="G16" s="177">
        <v>68150</v>
      </c>
      <c r="H16" s="103">
        <f>1.2*G16</f>
        <v>81780</v>
      </c>
      <c r="I16" s="78">
        <f>H16</f>
        <v>81780</v>
      </c>
      <c r="J16" s="87">
        <f>I16*K16</f>
        <v>31383.768</v>
      </c>
      <c r="K16" s="17">
        <f>1-(M16+Q16+S16)</f>
        <v>0.38375847395451212</v>
      </c>
      <c r="L16" s="10">
        <f>I16*M16</f>
        <v>40890</v>
      </c>
      <c r="M16" s="3">
        <v>0.5</v>
      </c>
      <c r="N16" s="70">
        <f t="shared" si="5"/>
        <v>0</v>
      </c>
      <c r="O16" s="71">
        <v>0</v>
      </c>
      <c r="P16" s="2">
        <v>9506.232</v>
      </c>
      <c r="Q16" s="17">
        <f>P16/I16</f>
        <v>0.11624152604548789</v>
      </c>
      <c r="R16" s="70">
        <f t="shared" ref="R16:R23" si="9">S16*I16</f>
        <v>0</v>
      </c>
      <c r="S16" s="11">
        <v>0</v>
      </c>
      <c r="T16" s="150">
        <v>9900</v>
      </c>
      <c r="U16" s="148">
        <f>L16-T16</f>
        <v>30990</v>
      </c>
      <c r="V16" s="147" t="s">
        <v>128</v>
      </c>
      <c r="W16" s="147" t="s">
        <v>128</v>
      </c>
      <c r="X16" s="148">
        <f>3470.46/2</f>
        <v>1735.23</v>
      </c>
      <c r="Y16" s="148">
        <f>P16-X16</f>
        <v>7771.0020000000004</v>
      </c>
      <c r="Z16" s="147" t="s">
        <v>128</v>
      </c>
      <c r="AA16" s="151" t="s">
        <v>128</v>
      </c>
    </row>
    <row r="17" spans="1:28" ht="39.950000000000003" customHeight="1" x14ac:dyDescent="0.25">
      <c r="A17" s="83" t="s">
        <v>76</v>
      </c>
      <c r="B17" s="67" t="s">
        <v>12</v>
      </c>
      <c r="C17" s="174" t="s">
        <v>34</v>
      </c>
      <c r="D17" s="111">
        <v>0</v>
      </c>
      <c r="E17" s="103">
        <f t="shared" si="2"/>
        <v>0</v>
      </c>
      <c r="F17" s="188">
        <v>0</v>
      </c>
      <c r="G17" s="178">
        <v>0</v>
      </c>
      <c r="H17" s="1">
        <v>0</v>
      </c>
      <c r="I17" s="77">
        <f>H17</f>
        <v>0</v>
      </c>
      <c r="J17" s="105">
        <f>I17*K17</f>
        <v>0</v>
      </c>
      <c r="K17" s="69">
        <v>1</v>
      </c>
      <c r="L17" s="68">
        <f>I17*M17</f>
        <v>0</v>
      </c>
      <c r="M17" s="69">
        <v>0</v>
      </c>
      <c r="N17" s="70">
        <f t="shared" si="5"/>
        <v>0</v>
      </c>
      <c r="O17" s="71">
        <v>0</v>
      </c>
      <c r="P17" s="70">
        <f t="shared" ref="P17:P23" si="10">I17*Q17</f>
        <v>0</v>
      </c>
      <c r="Q17" s="72">
        <v>0</v>
      </c>
      <c r="R17" s="70">
        <f t="shared" si="9"/>
        <v>0</v>
      </c>
      <c r="S17" s="11">
        <v>0</v>
      </c>
      <c r="T17" s="147" t="s">
        <v>128</v>
      </c>
      <c r="U17" s="147" t="s">
        <v>128</v>
      </c>
      <c r="V17" s="147" t="s">
        <v>128</v>
      </c>
      <c r="W17" s="147" t="s">
        <v>128</v>
      </c>
      <c r="X17" s="147" t="s">
        <v>128</v>
      </c>
      <c r="Y17" s="147" t="s">
        <v>128</v>
      </c>
      <c r="Z17" s="147" t="s">
        <v>128</v>
      </c>
      <c r="AA17" s="151" t="s">
        <v>128</v>
      </c>
    </row>
    <row r="18" spans="1:28" ht="39.950000000000003" customHeight="1" x14ac:dyDescent="0.25">
      <c r="A18" s="83" t="s">
        <v>77</v>
      </c>
      <c r="B18" s="67" t="s">
        <v>12</v>
      </c>
      <c r="C18" s="174" t="s">
        <v>35</v>
      </c>
      <c r="D18" s="111">
        <v>0</v>
      </c>
      <c r="E18" s="103">
        <f t="shared" si="2"/>
        <v>0</v>
      </c>
      <c r="F18" s="188">
        <v>0</v>
      </c>
      <c r="G18" s="178">
        <v>0</v>
      </c>
      <c r="H18" s="1">
        <v>0</v>
      </c>
      <c r="I18" s="77">
        <f>H18</f>
        <v>0</v>
      </c>
      <c r="J18" s="105">
        <f>I18*K18</f>
        <v>0</v>
      </c>
      <c r="K18" s="69">
        <v>1</v>
      </c>
      <c r="L18" s="68">
        <f>I18*M18</f>
        <v>0</v>
      </c>
      <c r="M18" s="69">
        <v>0</v>
      </c>
      <c r="N18" s="70">
        <f t="shared" si="5"/>
        <v>0</v>
      </c>
      <c r="O18" s="71">
        <v>0</v>
      </c>
      <c r="P18" s="70">
        <f t="shared" si="10"/>
        <v>0</v>
      </c>
      <c r="Q18" s="72">
        <v>0</v>
      </c>
      <c r="R18" s="70">
        <f t="shared" si="9"/>
        <v>0</v>
      </c>
      <c r="S18" s="11">
        <v>0</v>
      </c>
      <c r="T18" s="147" t="s">
        <v>128</v>
      </c>
      <c r="U18" s="147" t="s">
        <v>128</v>
      </c>
      <c r="V18" s="147" t="s">
        <v>128</v>
      </c>
      <c r="W18" s="147" t="s">
        <v>128</v>
      </c>
      <c r="X18" s="147" t="s">
        <v>128</v>
      </c>
      <c r="Y18" s="147" t="s">
        <v>128</v>
      </c>
      <c r="Z18" s="147" t="s">
        <v>128</v>
      </c>
      <c r="AA18" s="151" t="s">
        <v>128</v>
      </c>
    </row>
    <row r="19" spans="1:28" ht="39.950000000000003" customHeight="1" x14ac:dyDescent="0.25">
      <c r="A19" s="83" t="s">
        <v>78</v>
      </c>
      <c r="B19" s="67" t="s">
        <v>12</v>
      </c>
      <c r="C19" s="174" t="s">
        <v>36</v>
      </c>
      <c r="D19" s="111">
        <v>0</v>
      </c>
      <c r="E19" s="103">
        <f t="shared" si="2"/>
        <v>0</v>
      </c>
      <c r="F19" s="188">
        <v>0</v>
      </c>
      <c r="G19" s="178">
        <v>0</v>
      </c>
      <c r="H19" s="1">
        <v>0</v>
      </c>
      <c r="I19" s="77">
        <f>H19</f>
        <v>0</v>
      </c>
      <c r="J19" s="105">
        <f>I19*K19</f>
        <v>0</v>
      </c>
      <c r="K19" s="69">
        <v>1</v>
      </c>
      <c r="L19" s="68">
        <f t="shared" ref="L19:L26" si="11">M19*I19</f>
        <v>0</v>
      </c>
      <c r="M19" s="69">
        <v>0</v>
      </c>
      <c r="N19" s="70">
        <f t="shared" si="5"/>
        <v>0</v>
      </c>
      <c r="O19" s="71">
        <v>0</v>
      </c>
      <c r="P19" s="70">
        <f t="shared" si="10"/>
        <v>0</v>
      </c>
      <c r="Q19" s="72">
        <v>0</v>
      </c>
      <c r="R19" s="70">
        <f t="shared" si="9"/>
        <v>0</v>
      </c>
      <c r="S19" s="11">
        <v>0</v>
      </c>
      <c r="T19" s="147" t="s">
        <v>128</v>
      </c>
      <c r="U19" s="147" t="s">
        <v>128</v>
      </c>
      <c r="V19" s="147" t="s">
        <v>128</v>
      </c>
      <c r="W19" s="147" t="s">
        <v>128</v>
      </c>
      <c r="X19" s="147" t="s">
        <v>128</v>
      </c>
      <c r="Y19" s="147" t="s">
        <v>128</v>
      </c>
      <c r="Z19" s="147" t="s">
        <v>128</v>
      </c>
      <c r="AA19" s="151" t="s">
        <v>128</v>
      </c>
    </row>
    <row r="20" spans="1:28" ht="39.950000000000003" customHeight="1" x14ac:dyDescent="0.25">
      <c r="A20" s="83" t="s">
        <v>79</v>
      </c>
      <c r="B20" s="67" t="s">
        <v>12</v>
      </c>
      <c r="C20" s="174" t="s">
        <v>37</v>
      </c>
      <c r="D20" s="111">
        <v>0</v>
      </c>
      <c r="E20" s="103">
        <f t="shared" si="2"/>
        <v>0</v>
      </c>
      <c r="F20" s="188">
        <v>0</v>
      </c>
      <c r="G20" s="178">
        <v>0</v>
      </c>
      <c r="H20" s="1">
        <v>0</v>
      </c>
      <c r="I20" s="77">
        <f>H20</f>
        <v>0</v>
      </c>
      <c r="J20" s="105">
        <f>I20*K20</f>
        <v>0</v>
      </c>
      <c r="K20" s="69">
        <v>1</v>
      </c>
      <c r="L20" s="68">
        <f t="shared" si="11"/>
        <v>0</v>
      </c>
      <c r="M20" s="69">
        <v>0</v>
      </c>
      <c r="N20" s="70">
        <f t="shared" si="5"/>
        <v>0</v>
      </c>
      <c r="O20" s="71">
        <v>0</v>
      </c>
      <c r="P20" s="70">
        <f t="shared" si="10"/>
        <v>0</v>
      </c>
      <c r="Q20" s="72">
        <v>0</v>
      </c>
      <c r="R20" s="70">
        <f t="shared" si="9"/>
        <v>0</v>
      </c>
      <c r="S20" s="11">
        <v>0</v>
      </c>
      <c r="T20" s="147" t="s">
        <v>128</v>
      </c>
      <c r="U20" s="147" t="s">
        <v>128</v>
      </c>
      <c r="V20" s="147" t="s">
        <v>128</v>
      </c>
      <c r="W20" s="147" t="s">
        <v>128</v>
      </c>
      <c r="X20" s="147" t="s">
        <v>128</v>
      </c>
      <c r="Y20" s="147" t="s">
        <v>128</v>
      </c>
      <c r="Z20" s="147" t="s">
        <v>128</v>
      </c>
      <c r="AA20" s="151" t="s">
        <v>128</v>
      </c>
    </row>
    <row r="21" spans="1:28" ht="39.950000000000003" customHeight="1" x14ac:dyDescent="0.25">
      <c r="A21" s="83" t="s">
        <v>80</v>
      </c>
      <c r="B21" s="67" t="s">
        <v>13</v>
      </c>
      <c r="C21" s="174" t="s">
        <v>27</v>
      </c>
      <c r="D21" s="111">
        <v>11000</v>
      </c>
      <c r="E21" s="103">
        <f t="shared" si="2"/>
        <v>13200</v>
      </c>
      <c r="F21" s="188">
        <f>E21</f>
        <v>13200</v>
      </c>
      <c r="G21" s="178">
        <v>0</v>
      </c>
      <c r="H21" s="1">
        <f>G21*1.2</f>
        <v>0</v>
      </c>
      <c r="I21" s="77">
        <f t="shared" ref="I21:I22" si="12">H21</f>
        <v>0</v>
      </c>
      <c r="J21" s="105">
        <f t="shared" ref="J21:J22" si="13">I21*K21</f>
        <v>0</v>
      </c>
      <c r="K21" s="69">
        <v>1</v>
      </c>
      <c r="L21" s="68">
        <f t="shared" si="11"/>
        <v>0</v>
      </c>
      <c r="M21" s="69">
        <v>0</v>
      </c>
      <c r="N21" s="70">
        <v>0</v>
      </c>
      <c r="O21" s="71">
        <v>0</v>
      </c>
      <c r="P21" s="70">
        <f t="shared" si="10"/>
        <v>0</v>
      </c>
      <c r="Q21" s="72">
        <v>0</v>
      </c>
      <c r="R21" s="70">
        <f t="shared" si="9"/>
        <v>0</v>
      </c>
      <c r="S21" s="11">
        <v>0</v>
      </c>
      <c r="T21" s="147" t="s">
        <v>128</v>
      </c>
      <c r="U21" s="147" t="s">
        <v>128</v>
      </c>
      <c r="V21" s="147" t="s">
        <v>128</v>
      </c>
      <c r="W21" s="147" t="s">
        <v>128</v>
      </c>
      <c r="X21" s="147" t="s">
        <v>128</v>
      </c>
      <c r="Y21" s="147" t="s">
        <v>128</v>
      </c>
      <c r="Z21" s="147" t="s">
        <v>128</v>
      </c>
      <c r="AA21" s="151" t="s">
        <v>128</v>
      </c>
    </row>
    <row r="22" spans="1:28" ht="39.950000000000003" customHeight="1" x14ac:dyDescent="0.25">
      <c r="A22" s="83" t="s">
        <v>81</v>
      </c>
      <c r="B22" s="67" t="s">
        <v>14</v>
      </c>
      <c r="C22" s="174" t="s">
        <v>63</v>
      </c>
      <c r="D22" s="111">
        <v>0</v>
      </c>
      <c r="E22" s="103">
        <f t="shared" si="2"/>
        <v>0</v>
      </c>
      <c r="F22" s="188">
        <v>0</v>
      </c>
      <c r="G22" s="178">
        <v>0</v>
      </c>
      <c r="H22" s="1">
        <v>0</v>
      </c>
      <c r="I22" s="77">
        <f t="shared" si="12"/>
        <v>0</v>
      </c>
      <c r="J22" s="105">
        <f t="shared" si="13"/>
        <v>0</v>
      </c>
      <c r="K22" s="69">
        <v>1</v>
      </c>
      <c r="L22" s="68">
        <f t="shared" si="11"/>
        <v>0</v>
      </c>
      <c r="M22" s="69">
        <v>0</v>
      </c>
      <c r="N22" s="70">
        <f>G22*O22</f>
        <v>0</v>
      </c>
      <c r="O22" s="71">
        <v>0</v>
      </c>
      <c r="P22" s="70">
        <f t="shared" si="10"/>
        <v>0</v>
      </c>
      <c r="Q22" s="72">
        <v>0</v>
      </c>
      <c r="R22" s="70">
        <f t="shared" si="9"/>
        <v>0</v>
      </c>
      <c r="S22" s="11">
        <v>0</v>
      </c>
      <c r="T22" s="147" t="s">
        <v>128</v>
      </c>
      <c r="U22" s="147" t="s">
        <v>128</v>
      </c>
      <c r="V22" s="147" t="s">
        <v>128</v>
      </c>
      <c r="W22" s="147" t="s">
        <v>128</v>
      </c>
      <c r="X22" s="147" t="s">
        <v>128</v>
      </c>
      <c r="Y22" s="147" t="s">
        <v>128</v>
      </c>
      <c r="Z22" s="147" t="s">
        <v>128</v>
      </c>
      <c r="AA22" s="151" t="s">
        <v>128</v>
      </c>
    </row>
    <row r="23" spans="1:28" ht="39.950000000000003" customHeight="1" x14ac:dyDescent="0.25">
      <c r="A23" s="83" t="s">
        <v>82</v>
      </c>
      <c r="B23" s="67" t="s">
        <v>15</v>
      </c>
      <c r="C23" s="174" t="s">
        <v>38</v>
      </c>
      <c r="D23" s="111">
        <f>E23/1.2</f>
        <v>20833.333333333336</v>
      </c>
      <c r="E23" s="103">
        <v>25000</v>
      </c>
      <c r="F23" s="188">
        <f>E23</f>
        <v>25000</v>
      </c>
      <c r="G23" s="178">
        <v>0</v>
      </c>
      <c r="H23" s="1">
        <f>1.2*G23</f>
        <v>0</v>
      </c>
      <c r="I23" s="77">
        <f t="shared" ref="I23:I28" si="14">H23</f>
        <v>0</v>
      </c>
      <c r="J23" s="105">
        <f>I23*K23</f>
        <v>0</v>
      </c>
      <c r="K23" s="69">
        <v>1</v>
      </c>
      <c r="L23" s="68">
        <f t="shared" si="11"/>
        <v>0</v>
      </c>
      <c r="M23" s="69">
        <v>0</v>
      </c>
      <c r="N23" s="70">
        <v>0</v>
      </c>
      <c r="O23" s="71">
        <v>0</v>
      </c>
      <c r="P23" s="70">
        <f t="shared" si="10"/>
        <v>0</v>
      </c>
      <c r="Q23" s="72">
        <v>0</v>
      </c>
      <c r="R23" s="70">
        <f t="shared" si="9"/>
        <v>0</v>
      </c>
      <c r="S23" s="11">
        <v>0</v>
      </c>
      <c r="T23" s="147" t="s">
        <v>128</v>
      </c>
      <c r="U23" s="147" t="s">
        <v>128</v>
      </c>
      <c r="V23" s="147" t="s">
        <v>128</v>
      </c>
      <c r="W23" s="147" t="s">
        <v>128</v>
      </c>
      <c r="X23" s="147" t="s">
        <v>128</v>
      </c>
      <c r="Y23" s="147" t="s">
        <v>128</v>
      </c>
      <c r="Z23" s="147" t="s">
        <v>128</v>
      </c>
      <c r="AA23" s="151" t="s">
        <v>128</v>
      </c>
    </row>
    <row r="24" spans="1:28" ht="39.950000000000003" customHeight="1" x14ac:dyDescent="0.25">
      <c r="A24" s="83" t="s">
        <v>83</v>
      </c>
      <c r="B24" s="67" t="s">
        <v>1</v>
      </c>
      <c r="C24" s="174" t="s">
        <v>84</v>
      </c>
      <c r="D24" s="111">
        <f>E24/1.2</f>
        <v>4166.666666666667</v>
      </c>
      <c r="E24" s="103">
        <v>5000</v>
      </c>
      <c r="F24" s="188">
        <f>E24</f>
        <v>5000</v>
      </c>
      <c r="G24" s="178">
        <v>0</v>
      </c>
      <c r="H24" s="1">
        <f>1.2*G24</f>
        <v>0</v>
      </c>
      <c r="I24" s="79">
        <f t="shared" si="14"/>
        <v>0</v>
      </c>
      <c r="J24" s="105">
        <f>I24*K24</f>
        <v>0</v>
      </c>
      <c r="K24" s="69">
        <v>1</v>
      </c>
      <c r="L24" s="68">
        <f t="shared" si="11"/>
        <v>0</v>
      </c>
      <c r="M24" s="69">
        <v>0</v>
      </c>
      <c r="N24" s="70">
        <f t="shared" ref="N24:N44" si="15">G24*O24</f>
        <v>0</v>
      </c>
      <c r="O24" s="71">
        <v>0</v>
      </c>
      <c r="P24" s="70">
        <f>Q24*I24</f>
        <v>0</v>
      </c>
      <c r="Q24" s="72">
        <v>0</v>
      </c>
      <c r="R24" s="70">
        <f>S24*H24</f>
        <v>0</v>
      </c>
      <c r="S24" s="11">
        <v>0</v>
      </c>
      <c r="T24" s="147" t="s">
        <v>128</v>
      </c>
      <c r="U24" s="147" t="s">
        <v>128</v>
      </c>
      <c r="V24" s="147" t="s">
        <v>128</v>
      </c>
      <c r="W24" s="147" t="s">
        <v>128</v>
      </c>
      <c r="X24" s="147" t="s">
        <v>128</v>
      </c>
      <c r="Y24" s="147" t="s">
        <v>128</v>
      </c>
      <c r="Z24" s="147" t="s">
        <v>128</v>
      </c>
      <c r="AA24" s="151" t="s">
        <v>128</v>
      </c>
    </row>
    <row r="25" spans="1:28" ht="39.950000000000003" customHeight="1" x14ac:dyDescent="0.25">
      <c r="A25" s="83" t="s">
        <v>85</v>
      </c>
      <c r="B25" s="67" t="s">
        <v>16</v>
      </c>
      <c r="C25" s="174" t="s">
        <v>28</v>
      </c>
      <c r="D25" s="111">
        <v>0</v>
      </c>
      <c r="E25" s="103">
        <f t="shared" si="2"/>
        <v>0</v>
      </c>
      <c r="F25" s="188">
        <v>0</v>
      </c>
      <c r="G25" s="178">
        <f>H25/1.2</f>
        <v>0</v>
      </c>
      <c r="H25" s="1">
        <v>0</v>
      </c>
      <c r="I25" s="79">
        <f t="shared" si="14"/>
        <v>0</v>
      </c>
      <c r="J25" s="105">
        <f>K25*I25</f>
        <v>0</v>
      </c>
      <c r="K25" s="69">
        <f>1-(M25+Q25+S25)</f>
        <v>1</v>
      </c>
      <c r="L25" s="68">
        <f t="shared" si="11"/>
        <v>0</v>
      </c>
      <c r="M25" s="69">
        <v>0</v>
      </c>
      <c r="N25" s="70">
        <f t="shared" si="15"/>
        <v>0</v>
      </c>
      <c r="O25" s="71">
        <v>0</v>
      </c>
      <c r="P25" s="70">
        <f>Q25*I25</f>
        <v>0</v>
      </c>
      <c r="Q25" s="72">
        <v>0</v>
      </c>
      <c r="R25" s="70">
        <f>S25*H25</f>
        <v>0</v>
      </c>
      <c r="S25" s="11">
        <v>0</v>
      </c>
      <c r="T25" s="147" t="s">
        <v>128</v>
      </c>
      <c r="U25" s="147" t="s">
        <v>128</v>
      </c>
      <c r="V25" s="147" t="s">
        <v>128</v>
      </c>
      <c r="W25" s="147" t="s">
        <v>128</v>
      </c>
      <c r="X25" s="147" t="s">
        <v>128</v>
      </c>
      <c r="Y25" s="147" t="s">
        <v>128</v>
      </c>
      <c r="Z25" s="147" t="s">
        <v>128</v>
      </c>
      <c r="AA25" s="151" t="s">
        <v>128</v>
      </c>
    </row>
    <row r="26" spans="1:28" ht="39.950000000000003" customHeight="1" x14ac:dyDescent="0.25">
      <c r="A26" s="83" t="s">
        <v>86</v>
      </c>
      <c r="B26" s="67" t="s">
        <v>17</v>
      </c>
      <c r="C26" s="174" t="s">
        <v>63</v>
      </c>
      <c r="D26" s="111">
        <v>0</v>
      </c>
      <c r="E26" s="103">
        <f t="shared" si="2"/>
        <v>0</v>
      </c>
      <c r="F26" s="188">
        <v>0</v>
      </c>
      <c r="G26" s="178">
        <f>H26/1.2</f>
        <v>0</v>
      </c>
      <c r="H26" s="1">
        <v>0</v>
      </c>
      <c r="I26" s="79">
        <f t="shared" si="14"/>
        <v>0</v>
      </c>
      <c r="J26" s="105">
        <f>K26*I26</f>
        <v>0</v>
      </c>
      <c r="K26" s="69">
        <v>1</v>
      </c>
      <c r="L26" s="68">
        <f t="shared" si="11"/>
        <v>0</v>
      </c>
      <c r="M26" s="69">
        <v>0</v>
      </c>
      <c r="N26" s="70">
        <f t="shared" si="15"/>
        <v>0</v>
      </c>
      <c r="O26" s="71">
        <v>0</v>
      </c>
      <c r="P26" s="70">
        <f>Q26*I26</f>
        <v>0</v>
      </c>
      <c r="Q26" s="72">
        <v>0</v>
      </c>
      <c r="R26" s="70">
        <f>S26*H26</f>
        <v>0</v>
      </c>
      <c r="S26" s="11">
        <v>0</v>
      </c>
      <c r="T26" s="147" t="s">
        <v>128</v>
      </c>
      <c r="U26" s="147" t="s">
        <v>128</v>
      </c>
      <c r="V26" s="147" t="s">
        <v>128</v>
      </c>
      <c r="W26" s="147" t="s">
        <v>128</v>
      </c>
      <c r="X26" s="147" t="s">
        <v>128</v>
      </c>
      <c r="Y26" s="147" t="s">
        <v>128</v>
      </c>
      <c r="Z26" s="147" t="s">
        <v>128</v>
      </c>
      <c r="AA26" s="151" t="s">
        <v>128</v>
      </c>
    </row>
    <row r="27" spans="1:28" ht="39.950000000000003" customHeight="1" x14ac:dyDescent="0.25">
      <c r="A27" s="83" t="s">
        <v>87</v>
      </c>
      <c r="B27" s="67" t="s">
        <v>18</v>
      </c>
      <c r="C27" s="174" t="s">
        <v>88</v>
      </c>
      <c r="D27" s="111">
        <f>E27/1.2</f>
        <v>33333.333333333336</v>
      </c>
      <c r="E27" s="103">
        <v>40000</v>
      </c>
      <c r="F27" s="188">
        <f>D27</f>
        <v>33333.333333333336</v>
      </c>
      <c r="G27" s="177">
        <v>16389.5</v>
      </c>
      <c r="H27" s="10">
        <f>1.2*G27</f>
        <v>19667.399999999998</v>
      </c>
      <c r="I27" s="80">
        <f t="shared" si="14"/>
        <v>19667.399999999998</v>
      </c>
      <c r="J27" s="87">
        <f t="shared" ref="J27:J40" si="16">I27*K27</f>
        <v>9833.6999999999989</v>
      </c>
      <c r="K27" s="3">
        <f>1-(M27+Q27+S27)</f>
        <v>0.5</v>
      </c>
      <c r="L27" s="10">
        <f t="shared" ref="L27:L44" si="17">I27*M27</f>
        <v>9833.6999999999989</v>
      </c>
      <c r="M27" s="3">
        <v>0.5</v>
      </c>
      <c r="N27" s="70">
        <f t="shared" si="15"/>
        <v>0</v>
      </c>
      <c r="O27" s="72">
        <v>0</v>
      </c>
      <c r="P27" s="70">
        <f t="shared" ref="P27:P40" si="18">I27*Q27</f>
        <v>0</v>
      </c>
      <c r="Q27" s="72">
        <v>0</v>
      </c>
      <c r="R27" s="68">
        <f t="shared" ref="R27:R40" si="19">S27*I27</f>
        <v>0</v>
      </c>
      <c r="S27" s="11">
        <v>0</v>
      </c>
      <c r="T27" s="150">
        <v>0</v>
      </c>
      <c r="U27" s="148">
        <f>L27-T27</f>
        <v>9833.6999999999989</v>
      </c>
      <c r="V27" s="147" t="s">
        <v>128</v>
      </c>
      <c r="W27" s="147" t="s">
        <v>128</v>
      </c>
      <c r="X27" s="147" t="s">
        <v>128</v>
      </c>
      <c r="Y27" s="147" t="s">
        <v>128</v>
      </c>
      <c r="Z27" s="147" t="s">
        <v>128</v>
      </c>
      <c r="AA27" s="151" t="s">
        <v>128</v>
      </c>
    </row>
    <row r="28" spans="1:28" ht="39.950000000000003" customHeight="1" x14ac:dyDescent="0.25">
      <c r="A28" s="83" t="s">
        <v>89</v>
      </c>
      <c r="B28" s="67" t="s">
        <v>19</v>
      </c>
      <c r="C28" s="174" t="s">
        <v>27</v>
      </c>
      <c r="D28" s="111">
        <v>15000</v>
      </c>
      <c r="E28" s="103">
        <f t="shared" si="2"/>
        <v>18000</v>
      </c>
      <c r="F28" s="188">
        <f>D28</f>
        <v>15000</v>
      </c>
      <c r="G28" s="177">
        <v>5357.4</v>
      </c>
      <c r="H28" s="10">
        <f t="shared" ref="H28:H40" si="20">1.2*G28</f>
        <v>6428.8799999999992</v>
      </c>
      <c r="I28" s="80">
        <f t="shared" si="14"/>
        <v>6428.8799999999992</v>
      </c>
      <c r="J28" s="87">
        <f t="shared" si="16"/>
        <v>1285.7759999999996</v>
      </c>
      <c r="K28" s="3">
        <f>1-(M28+Q28+S28)</f>
        <v>0.19999999999999996</v>
      </c>
      <c r="L28" s="10">
        <f t="shared" si="17"/>
        <v>3214.4399999999996</v>
      </c>
      <c r="M28" s="3">
        <v>0.5</v>
      </c>
      <c r="N28" s="70">
        <f t="shared" si="15"/>
        <v>0</v>
      </c>
      <c r="O28" s="72">
        <v>0</v>
      </c>
      <c r="P28" s="2">
        <f t="shared" si="18"/>
        <v>1928.6639999999998</v>
      </c>
      <c r="Q28" s="4">
        <v>0.3</v>
      </c>
      <c r="R28" s="68">
        <f t="shared" si="19"/>
        <v>0</v>
      </c>
      <c r="S28" s="11">
        <v>0</v>
      </c>
      <c r="T28" s="150">
        <v>0</v>
      </c>
      <c r="U28" s="148">
        <f>L28-T28</f>
        <v>3214.4399999999996</v>
      </c>
      <c r="V28" s="147" t="s">
        <v>128</v>
      </c>
      <c r="W28" s="147" t="s">
        <v>128</v>
      </c>
      <c r="X28" s="148">
        <v>0</v>
      </c>
      <c r="Y28" s="148">
        <f>P28-X28</f>
        <v>1928.6639999999998</v>
      </c>
      <c r="Z28" s="147" t="s">
        <v>128</v>
      </c>
      <c r="AA28" s="151" t="s">
        <v>128</v>
      </c>
    </row>
    <row r="29" spans="1:28" ht="39.950000000000003" customHeight="1" x14ac:dyDescent="0.25">
      <c r="A29" s="83" t="s">
        <v>90</v>
      </c>
      <c r="B29" s="67" t="s">
        <v>20</v>
      </c>
      <c r="C29" s="174" t="s">
        <v>39</v>
      </c>
      <c r="D29" s="111">
        <v>50000</v>
      </c>
      <c r="E29" s="103">
        <f t="shared" si="2"/>
        <v>60000</v>
      </c>
      <c r="F29" s="188">
        <f t="shared" ref="F29:F31" si="21">D29</f>
        <v>50000</v>
      </c>
      <c r="G29" s="177">
        <v>32589.500000000004</v>
      </c>
      <c r="H29" s="10">
        <f t="shared" si="20"/>
        <v>39107.4</v>
      </c>
      <c r="I29" s="80">
        <f>G29</f>
        <v>32589.500000000004</v>
      </c>
      <c r="J29" s="87">
        <f t="shared" si="16"/>
        <v>6517.9</v>
      </c>
      <c r="K29" s="3">
        <f>1-(M29+Q29+S29)</f>
        <v>0.19999999999999996</v>
      </c>
      <c r="L29" s="10">
        <f t="shared" si="17"/>
        <v>16294.750000000002</v>
      </c>
      <c r="M29" s="3">
        <v>0.5</v>
      </c>
      <c r="N29" s="70">
        <f t="shared" si="15"/>
        <v>0</v>
      </c>
      <c r="O29" s="72">
        <v>0</v>
      </c>
      <c r="P29" s="2">
        <f t="shared" si="18"/>
        <v>9776.85</v>
      </c>
      <c r="Q29" s="4">
        <v>0.3</v>
      </c>
      <c r="R29" s="68">
        <f t="shared" si="19"/>
        <v>0</v>
      </c>
      <c r="S29" s="11">
        <v>0</v>
      </c>
      <c r="T29" s="150">
        <v>0</v>
      </c>
      <c r="U29" s="148">
        <f>L29-T29</f>
        <v>16294.750000000002</v>
      </c>
      <c r="V29" s="147" t="s">
        <v>128</v>
      </c>
      <c r="W29" s="147" t="s">
        <v>128</v>
      </c>
      <c r="X29" s="148">
        <v>8132.8</v>
      </c>
      <c r="Y29" s="148">
        <f>P29-X29</f>
        <v>1644.0500000000002</v>
      </c>
      <c r="Z29" s="147" t="s">
        <v>128</v>
      </c>
      <c r="AA29" s="151" t="s">
        <v>128</v>
      </c>
    </row>
    <row r="30" spans="1:28" ht="39.950000000000003" customHeight="1" x14ac:dyDescent="0.25">
      <c r="A30" s="83" t="s">
        <v>91</v>
      </c>
      <c r="B30" s="67" t="s">
        <v>21</v>
      </c>
      <c r="C30" s="174" t="s">
        <v>92</v>
      </c>
      <c r="D30" s="111">
        <v>10000</v>
      </c>
      <c r="E30" s="103">
        <f t="shared" si="2"/>
        <v>12000</v>
      </c>
      <c r="F30" s="188">
        <f t="shared" si="21"/>
        <v>10000</v>
      </c>
      <c r="G30" s="177">
        <v>6489.5</v>
      </c>
      <c r="H30" s="10">
        <f t="shared" si="20"/>
        <v>7787.4</v>
      </c>
      <c r="I30" s="80">
        <f>H30</f>
        <v>7787.4</v>
      </c>
      <c r="J30" s="87">
        <f t="shared" si="16"/>
        <v>3893.7</v>
      </c>
      <c r="K30" s="3">
        <f>1-(M30+Q30+S30)</f>
        <v>0.5</v>
      </c>
      <c r="L30" s="10">
        <f t="shared" si="17"/>
        <v>3893.7</v>
      </c>
      <c r="M30" s="3">
        <v>0.5</v>
      </c>
      <c r="N30" s="70">
        <f t="shared" si="15"/>
        <v>0</v>
      </c>
      <c r="O30" s="72">
        <v>0</v>
      </c>
      <c r="P30" s="70">
        <f t="shared" si="18"/>
        <v>0</v>
      </c>
      <c r="Q30" s="72">
        <v>0</v>
      </c>
      <c r="R30" s="68">
        <f t="shared" si="19"/>
        <v>0</v>
      </c>
      <c r="S30" s="11">
        <v>0</v>
      </c>
      <c r="T30" s="150">
        <v>3893.7</v>
      </c>
      <c r="U30" s="148">
        <v>0</v>
      </c>
      <c r="V30" s="147" t="s">
        <v>128</v>
      </c>
      <c r="W30" s="147" t="s">
        <v>128</v>
      </c>
      <c r="X30" s="147" t="s">
        <v>128</v>
      </c>
      <c r="Y30" s="147" t="s">
        <v>128</v>
      </c>
      <c r="Z30" s="147" t="s">
        <v>128</v>
      </c>
      <c r="AA30" s="151" t="s">
        <v>128</v>
      </c>
    </row>
    <row r="31" spans="1:28" ht="39.950000000000003" customHeight="1" x14ac:dyDescent="0.25">
      <c r="A31" s="83" t="s">
        <v>93</v>
      </c>
      <c r="B31" s="67" t="s">
        <v>94</v>
      </c>
      <c r="C31" s="174" t="s">
        <v>95</v>
      </c>
      <c r="D31" s="111">
        <v>50000</v>
      </c>
      <c r="E31" s="103">
        <f t="shared" si="2"/>
        <v>60000</v>
      </c>
      <c r="F31" s="188">
        <f t="shared" si="21"/>
        <v>50000</v>
      </c>
      <c r="G31" s="177">
        <v>19689.500000000004</v>
      </c>
      <c r="H31" s="10">
        <f t="shared" si="20"/>
        <v>23627.400000000005</v>
      </c>
      <c r="I31" s="80">
        <f>H31</f>
        <v>23627.400000000005</v>
      </c>
      <c r="J31" s="87">
        <f t="shared" si="16"/>
        <v>11813.700000000003</v>
      </c>
      <c r="K31" s="3">
        <f>1-(M31+Q31+S31)</f>
        <v>0.5</v>
      </c>
      <c r="L31" s="10">
        <f t="shared" si="17"/>
        <v>11813.700000000003</v>
      </c>
      <c r="M31" s="3">
        <v>0.5</v>
      </c>
      <c r="N31" s="70">
        <f t="shared" si="15"/>
        <v>0</v>
      </c>
      <c r="O31" s="72">
        <v>0</v>
      </c>
      <c r="P31" s="70">
        <f t="shared" si="18"/>
        <v>0</v>
      </c>
      <c r="Q31" s="72">
        <v>0</v>
      </c>
      <c r="R31" s="68">
        <f t="shared" si="19"/>
        <v>0</v>
      </c>
      <c r="S31" s="11">
        <v>0</v>
      </c>
      <c r="T31" s="150">
        <v>11813.7</v>
      </c>
      <c r="U31" s="148">
        <f>L31-T31</f>
        <v>0</v>
      </c>
      <c r="V31" s="101" t="s">
        <v>128</v>
      </c>
      <c r="W31" s="101" t="s">
        <v>128</v>
      </c>
      <c r="X31" s="101" t="s">
        <v>128</v>
      </c>
      <c r="Y31" s="101" t="s">
        <v>128</v>
      </c>
      <c r="Z31" s="101" t="s">
        <v>128</v>
      </c>
      <c r="AA31" s="102" t="s">
        <v>128</v>
      </c>
      <c r="AB31" s="100"/>
    </row>
    <row r="32" spans="1:28" ht="39.950000000000003" customHeight="1" x14ac:dyDescent="0.25">
      <c r="A32" s="83" t="s">
        <v>96</v>
      </c>
      <c r="B32" s="67" t="s">
        <v>97</v>
      </c>
      <c r="C32" s="174" t="s">
        <v>38</v>
      </c>
      <c r="D32" s="111">
        <f>E32/1.2</f>
        <v>16666.666666666668</v>
      </c>
      <c r="E32" s="103">
        <v>20000</v>
      </c>
      <c r="F32" s="188">
        <f>E32</f>
        <v>20000</v>
      </c>
      <c r="G32" s="179">
        <v>13189.5</v>
      </c>
      <c r="H32" s="74">
        <f t="shared" si="20"/>
        <v>15827.4</v>
      </c>
      <c r="I32" s="81">
        <f>H32</f>
        <v>15827.4</v>
      </c>
      <c r="J32" s="88">
        <f t="shared" si="16"/>
        <v>15827.4</v>
      </c>
      <c r="K32" s="75">
        <v>1</v>
      </c>
      <c r="L32" s="68">
        <f t="shared" si="17"/>
        <v>0</v>
      </c>
      <c r="M32" s="69">
        <v>0</v>
      </c>
      <c r="N32" s="70">
        <f t="shared" si="15"/>
        <v>0</v>
      </c>
      <c r="O32" s="72">
        <v>0</v>
      </c>
      <c r="P32" s="70">
        <f t="shared" si="18"/>
        <v>0</v>
      </c>
      <c r="Q32" s="72">
        <v>0</v>
      </c>
      <c r="R32" s="68">
        <f t="shared" si="19"/>
        <v>0</v>
      </c>
      <c r="S32" s="11">
        <v>0</v>
      </c>
      <c r="T32" s="101" t="s">
        <v>128</v>
      </c>
      <c r="U32" s="101" t="s">
        <v>128</v>
      </c>
      <c r="V32" s="101" t="s">
        <v>128</v>
      </c>
      <c r="W32" s="101" t="s">
        <v>128</v>
      </c>
      <c r="X32" s="101" t="s">
        <v>128</v>
      </c>
      <c r="Y32" s="101" t="s">
        <v>128</v>
      </c>
      <c r="Z32" s="101" t="s">
        <v>128</v>
      </c>
      <c r="AA32" s="102" t="s">
        <v>128</v>
      </c>
    </row>
    <row r="33" spans="1:29" ht="39.950000000000003" customHeight="1" x14ac:dyDescent="0.25">
      <c r="A33" s="83" t="s">
        <v>114</v>
      </c>
      <c r="B33" s="67" t="s">
        <v>116</v>
      </c>
      <c r="C33" s="174" t="s">
        <v>117</v>
      </c>
      <c r="D33" s="111">
        <v>31250</v>
      </c>
      <c r="E33" s="103">
        <f t="shared" si="2"/>
        <v>37500</v>
      </c>
      <c r="F33" s="188">
        <f>E33</f>
        <v>37500</v>
      </c>
      <c r="G33" s="180">
        <v>0</v>
      </c>
      <c r="H33" s="76">
        <f t="shared" si="20"/>
        <v>0</v>
      </c>
      <c r="I33" s="82">
        <f>H33</f>
        <v>0</v>
      </c>
      <c r="J33" s="88">
        <v>0</v>
      </c>
      <c r="K33" s="75">
        <v>0</v>
      </c>
      <c r="L33" s="74">
        <v>0</v>
      </c>
      <c r="M33" s="75">
        <v>0</v>
      </c>
      <c r="N33" s="70">
        <f t="shared" si="15"/>
        <v>0</v>
      </c>
      <c r="O33" s="72">
        <v>0</v>
      </c>
      <c r="P33" s="70">
        <f t="shared" si="18"/>
        <v>0</v>
      </c>
      <c r="Q33" s="72">
        <v>0</v>
      </c>
      <c r="R33" s="68">
        <f t="shared" si="19"/>
        <v>0</v>
      </c>
      <c r="S33" s="11">
        <v>0</v>
      </c>
      <c r="T33" s="101" t="s">
        <v>128</v>
      </c>
      <c r="U33" s="101" t="s">
        <v>128</v>
      </c>
      <c r="V33" s="101" t="s">
        <v>128</v>
      </c>
      <c r="W33" s="101" t="s">
        <v>128</v>
      </c>
      <c r="X33" s="101" t="s">
        <v>128</v>
      </c>
      <c r="Y33" s="101" t="s">
        <v>128</v>
      </c>
      <c r="Z33" s="101" t="s">
        <v>128</v>
      </c>
      <c r="AA33" s="102" t="s">
        <v>128</v>
      </c>
    </row>
    <row r="34" spans="1:29" ht="39.950000000000003" customHeight="1" x14ac:dyDescent="0.25">
      <c r="A34" s="83" t="s">
        <v>115</v>
      </c>
      <c r="B34" s="67" t="s">
        <v>122</v>
      </c>
      <c r="C34" s="174" t="s">
        <v>121</v>
      </c>
      <c r="D34" s="111">
        <v>60000</v>
      </c>
      <c r="E34" s="103">
        <f t="shared" si="2"/>
        <v>72000</v>
      </c>
      <c r="F34" s="188">
        <f>E34</f>
        <v>72000</v>
      </c>
      <c r="G34" s="180">
        <v>0</v>
      </c>
      <c r="H34" s="76">
        <f t="shared" si="20"/>
        <v>0</v>
      </c>
      <c r="I34" s="82">
        <f>H34</f>
        <v>0</v>
      </c>
      <c r="J34" s="88">
        <f t="shared" si="16"/>
        <v>0</v>
      </c>
      <c r="K34" s="75">
        <v>0</v>
      </c>
      <c r="L34" s="74">
        <f t="shared" si="17"/>
        <v>0</v>
      </c>
      <c r="M34" s="75">
        <v>0</v>
      </c>
      <c r="N34" s="70">
        <f t="shared" si="15"/>
        <v>0</v>
      </c>
      <c r="O34" s="72">
        <v>0</v>
      </c>
      <c r="P34" s="70">
        <f t="shared" si="18"/>
        <v>0</v>
      </c>
      <c r="Q34" s="72">
        <v>0</v>
      </c>
      <c r="R34" s="68">
        <f t="shared" si="19"/>
        <v>0</v>
      </c>
      <c r="S34" s="11">
        <v>0</v>
      </c>
      <c r="T34" s="101" t="s">
        <v>128</v>
      </c>
      <c r="U34" s="101" t="s">
        <v>128</v>
      </c>
      <c r="V34" s="101" t="s">
        <v>128</v>
      </c>
      <c r="W34" s="101" t="s">
        <v>128</v>
      </c>
      <c r="X34" s="101" t="s">
        <v>128</v>
      </c>
      <c r="Y34" s="101" t="s">
        <v>128</v>
      </c>
      <c r="Z34" s="101" t="s">
        <v>128</v>
      </c>
      <c r="AA34" s="102" t="s">
        <v>128</v>
      </c>
      <c r="AC34" s="100"/>
    </row>
    <row r="35" spans="1:29" ht="39.950000000000003" customHeight="1" x14ac:dyDescent="0.25">
      <c r="A35" s="83" t="s">
        <v>98</v>
      </c>
      <c r="B35" s="67" t="s">
        <v>118</v>
      </c>
      <c r="C35" s="174" t="s">
        <v>27</v>
      </c>
      <c r="D35" s="111">
        <v>45000</v>
      </c>
      <c r="E35" s="103">
        <f t="shared" si="2"/>
        <v>54000</v>
      </c>
      <c r="F35" s="188">
        <f>D35</f>
        <v>45000</v>
      </c>
      <c r="G35" s="179">
        <v>28430</v>
      </c>
      <c r="H35" s="74">
        <f t="shared" si="20"/>
        <v>34116</v>
      </c>
      <c r="I35" s="81">
        <f t="shared" ref="I35:I40" si="22">G35</f>
        <v>28430</v>
      </c>
      <c r="J35" s="88">
        <f t="shared" si="16"/>
        <v>5685.9999999999991</v>
      </c>
      <c r="K35" s="75">
        <f t="shared" ref="K35:K41" si="23">1-(M35+Q35+S35)</f>
        <v>0.19999999999999996</v>
      </c>
      <c r="L35" s="74">
        <f t="shared" si="17"/>
        <v>14215</v>
      </c>
      <c r="M35" s="75">
        <v>0.5</v>
      </c>
      <c r="N35" s="70">
        <f t="shared" si="15"/>
        <v>0</v>
      </c>
      <c r="O35" s="72">
        <v>0</v>
      </c>
      <c r="P35" s="2">
        <f t="shared" si="18"/>
        <v>8529</v>
      </c>
      <c r="Q35" s="4">
        <v>0.3</v>
      </c>
      <c r="R35" s="68">
        <f t="shared" si="19"/>
        <v>0</v>
      </c>
      <c r="S35" s="11">
        <v>0</v>
      </c>
      <c r="T35" s="150">
        <v>0</v>
      </c>
      <c r="U35" s="148">
        <f>L35-T35</f>
        <v>14215</v>
      </c>
      <c r="V35" s="147" t="s">
        <v>128</v>
      </c>
      <c r="W35" s="147" t="s">
        <v>128</v>
      </c>
      <c r="X35" s="148">
        <v>0</v>
      </c>
      <c r="Y35" s="148">
        <f>P35-X35</f>
        <v>8529</v>
      </c>
      <c r="Z35" s="147" t="s">
        <v>128</v>
      </c>
      <c r="AA35" s="151" t="s">
        <v>128</v>
      </c>
    </row>
    <row r="36" spans="1:29" ht="39.950000000000003" customHeight="1" x14ac:dyDescent="0.25">
      <c r="A36" s="83" t="s">
        <v>99</v>
      </c>
      <c r="B36" s="67" t="s">
        <v>100</v>
      </c>
      <c r="C36" s="174" t="s">
        <v>88</v>
      </c>
      <c r="D36" s="111">
        <v>50000</v>
      </c>
      <c r="E36" s="103">
        <f t="shared" si="2"/>
        <v>60000</v>
      </c>
      <c r="F36" s="188">
        <f t="shared" ref="F36:F42" si="24">D36</f>
        <v>50000</v>
      </c>
      <c r="G36" s="179">
        <v>28430</v>
      </c>
      <c r="H36" s="74">
        <f t="shared" si="20"/>
        <v>34116</v>
      </c>
      <c r="I36" s="81">
        <f>H36</f>
        <v>34116</v>
      </c>
      <c r="J36" s="88">
        <f t="shared" si="16"/>
        <v>17058</v>
      </c>
      <c r="K36" s="75">
        <f t="shared" si="23"/>
        <v>0.5</v>
      </c>
      <c r="L36" s="74">
        <f t="shared" si="17"/>
        <v>17058</v>
      </c>
      <c r="M36" s="75">
        <v>0.5</v>
      </c>
      <c r="N36" s="70">
        <f t="shared" si="15"/>
        <v>0</v>
      </c>
      <c r="O36" s="72">
        <v>0</v>
      </c>
      <c r="P36" s="70">
        <f t="shared" si="18"/>
        <v>0</v>
      </c>
      <c r="Q36" s="72">
        <v>0</v>
      </c>
      <c r="R36" s="68">
        <f t="shared" si="19"/>
        <v>0</v>
      </c>
      <c r="S36" s="11">
        <v>0</v>
      </c>
      <c r="T36" s="150">
        <v>17058</v>
      </c>
      <c r="U36" s="148">
        <f>L36-T36</f>
        <v>0</v>
      </c>
      <c r="V36" s="147" t="s">
        <v>128</v>
      </c>
      <c r="W36" s="147" t="s">
        <v>128</v>
      </c>
      <c r="X36" s="147" t="s">
        <v>128</v>
      </c>
      <c r="Y36" s="147" t="s">
        <v>128</v>
      </c>
      <c r="Z36" s="147" t="s">
        <v>128</v>
      </c>
      <c r="AA36" s="151" t="s">
        <v>128</v>
      </c>
    </row>
    <row r="37" spans="1:29" ht="39.950000000000003" customHeight="1" x14ac:dyDescent="0.25">
      <c r="A37" s="83" t="s">
        <v>101</v>
      </c>
      <c r="B37" s="67" t="s">
        <v>47</v>
      </c>
      <c r="C37" s="174" t="s">
        <v>39</v>
      </c>
      <c r="D37" s="111">
        <v>50000</v>
      </c>
      <c r="E37" s="103">
        <f t="shared" si="2"/>
        <v>60000</v>
      </c>
      <c r="F37" s="188">
        <f t="shared" si="24"/>
        <v>50000</v>
      </c>
      <c r="G37" s="179">
        <v>28430</v>
      </c>
      <c r="H37" s="74">
        <f t="shared" si="20"/>
        <v>34116</v>
      </c>
      <c r="I37" s="81">
        <f t="shared" si="22"/>
        <v>28430</v>
      </c>
      <c r="J37" s="88">
        <f t="shared" si="16"/>
        <v>5685.9999999999991</v>
      </c>
      <c r="K37" s="75">
        <f t="shared" si="23"/>
        <v>0.19999999999999996</v>
      </c>
      <c r="L37" s="74">
        <f t="shared" si="17"/>
        <v>14215</v>
      </c>
      <c r="M37" s="75">
        <v>0.5</v>
      </c>
      <c r="N37" s="70">
        <f t="shared" si="15"/>
        <v>0</v>
      </c>
      <c r="O37" s="72">
        <v>0</v>
      </c>
      <c r="P37" s="2">
        <f t="shared" si="18"/>
        <v>8529</v>
      </c>
      <c r="Q37" s="4">
        <v>0.3</v>
      </c>
      <c r="R37" s="68">
        <f t="shared" si="19"/>
        <v>0</v>
      </c>
      <c r="S37" s="11">
        <v>0</v>
      </c>
      <c r="T37" s="150">
        <v>0</v>
      </c>
      <c r="U37" s="148">
        <f>L37-T37</f>
        <v>14215</v>
      </c>
      <c r="V37" s="147" t="s">
        <v>128</v>
      </c>
      <c r="W37" s="147" t="s">
        <v>128</v>
      </c>
      <c r="X37" s="148">
        <v>8529</v>
      </c>
      <c r="Y37" s="148">
        <v>0</v>
      </c>
      <c r="Z37" s="147" t="s">
        <v>128</v>
      </c>
      <c r="AA37" s="151" t="s">
        <v>128</v>
      </c>
    </row>
    <row r="38" spans="1:29" ht="39.950000000000003" customHeight="1" x14ac:dyDescent="0.25">
      <c r="A38" s="83" t="s">
        <v>102</v>
      </c>
      <c r="B38" s="67" t="s">
        <v>103</v>
      </c>
      <c r="C38" s="174" t="s">
        <v>29</v>
      </c>
      <c r="D38" s="111">
        <v>30000</v>
      </c>
      <c r="E38" s="103">
        <f t="shared" si="2"/>
        <v>36000</v>
      </c>
      <c r="F38" s="188">
        <f t="shared" si="24"/>
        <v>30000</v>
      </c>
      <c r="G38" s="179">
        <v>0</v>
      </c>
      <c r="H38" s="74">
        <v>0</v>
      </c>
      <c r="I38" s="81">
        <v>0</v>
      </c>
      <c r="J38" s="88">
        <v>0</v>
      </c>
      <c r="K38" s="75">
        <v>0</v>
      </c>
      <c r="L38" s="74">
        <v>0</v>
      </c>
      <c r="M38" s="75">
        <v>0</v>
      </c>
      <c r="N38" s="70">
        <f t="shared" si="15"/>
        <v>0</v>
      </c>
      <c r="O38" s="72">
        <v>0</v>
      </c>
      <c r="P38" s="70">
        <f t="shared" si="18"/>
        <v>0</v>
      </c>
      <c r="Q38" s="72">
        <v>0</v>
      </c>
      <c r="R38" s="68">
        <f t="shared" si="19"/>
        <v>0</v>
      </c>
      <c r="S38" s="11">
        <v>0</v>
      </c>
      <c r="T38" s="147" t="s">
        <v>128</v>
      </c>
      <c r="U38" s="147" t="s">
        <v>128</v>
      </c>
      <c r="V38" s="147" t="s">
        <v>128</v>
      </c>
      <c r="W38" s="147" t="s">
        <v>128</v>
      </c>
      <c r="X38" s="152" t="s">
        <v>128</v>
      </c>
      <c r="Y38" s="152" t="s">
        <v>128</v>
      </c>
      <c r="Z38" s="147" t="s">
        <v>128</v>
      </c>
      <c r="AA38" s="151" t="s">
        <v>128</v>
      </c>
    </row>
    <row r="39" spans="1:29" ht="39.950000000000003" customHeight="1" x14ac:dyDescent="0.25">
      <c r="A39" s="83" t="s">
        <v>104</v>
      </c>
      <c r="B39" s="67" t="s">
        <v>48</v>
      </c>
      <c r="C39" s="174" t="s">
        <v>30</v>
      </c>
      <c r="D39" s="111">
        <v>30000</v>
      </c>
      <c r="E39" s="103">
        <f t="shared" si="2"/>
        <v>36000</v>
      </c>
      <c r="F39" s="188">
        <f t="shared" si="24"/>
        <v>30000</v>
      </c>
      <c r="G39" s="179">
        <v>28430</v>
      </c>
      <c r="H39" s="74">
        <f t="shared" si="20"/>
        <v>34116</v>
      </c>
      <c r="I39" s="81">
        <f t="shared" si="22"/>
        <v>28430</v>
      </c>
      <c r="J39" s="88">
        <f t="shared" si="16"/>
        <v>5685.9999999999991</v>
      </c>
      <c r="K39" s="75">
        <f t="shared" si="23"/>
        <v>0.19999999999999996</v>
      </c>
      <c r="L39" s="74">
        <f t="shared" si="17"/>
        <v>14215</v>
      </c>
      <c r="M39" s="75">
        <v>0.5</v>
      </c>
      <c r="N39" s="70">
        <f t="shared" si="15"/>
        <v>0</v>
      </c>
      <c r="O39" s="72">
        <v>0</v>
      </c>
      <c r="P39" s="2">
        <f t="shared" si="18"/>
        <v>8529</v>
      </c>
      <c r="Q39" s="4">
        <v>0.3</v>
      </c>
      <c r="R39" s="68">
        <f t="shared" si="19"/>
        <v>0</v>
      </c>
      <c r="S39" s="11">
        <v>0</v>
      </c>
      <c r="T39" s="150">
        <v>0</v>
      </c>
      <c r="U39" s="148">
        <f>L39-T39</f>
        <v>14215</v>
      </c>
      <c r="V39" s="147" t="s">
        <v>128</v>
      </c>
      <c r="W39" s="147" t="s">
        <v>128</v>
      </c>
      <c r="X39" s="153">
        <v>0</v>
      </c>
      <c r="Y39" s="154">
        <f>P39-X39</f>
        <v>8529</v>
      </c>
      <c r="Z39" s="147" t="s">
        <v>128</v>
      </c>
      <c r="AA39" s="151" t="s">
        <v>128</v>
      </c>
    </row>
    <row r="40" spans="1:29" ht="39.950000000000003" customHeight="1" x14ac:dyDescent="0.25">
      <c r="A40" s="83" t="s">
        <v>105</v>
      </c>
      <c r="B40" s="67" t="s">
        <v>49</v>
      </c>
      <c r="C40" s="174" t="s">
        <v>31</v>
      </c>
      <c r="D40" s="111">
        <v>30000</v>
      </c>
      <c r="E40" s="103">
        <f t="shared" si="2"/>
        <v>36000</v>
      </c>
      <c r="F40" s="188">
        <f t="shared" si="24"/>
        <v>30000</v>
      </c>
      <c r="G40" s="179">
        <v>28430</v>
      </c>
      <c r="H40" s="74">
        <f t="shared" si="20"/>
        <v>34116</v>
      </c>
      <c r="I40" s="81">
        <f t="shared" si="22"/>
        <v>28430</v>
      </c>
      <c r="J40" s="88">
        <f t="shared" si="16"/>
        <v>14215</v>
      </c>
      <c r="K40" s="75">
        <f t="shared" si="23"/>
        <v>0.5</v>
      </c>
      <c r="L40" s="74">
        <f t="shared" si="17"/>
        <v>14215</v>
      </c>
      <c r="M40" s="75">
        <v>0.5</v>
      </c>
      <c r="N40" s="70">
        <f t="shared" si="15"/>
        <v>0</v>
      </c>
      <c r="O40" s="71">
        <v>0</v>
      </c>
      <c r="P40" s="70">
        <f t="shared" si="18"/>
        <v>0</v>
      </c>
      <c r="Q40" s="72">
        <v>0</v>
      </c>
      <c r="R40" s="68">
        <f t="shared" si="19"/>
        <v>0</v>
      </c>
      <c r="S40" s="11">
        <v>0</v>
      </c>
      <c r="T40" s="150">
        <v>0</v>
      </c>
      <c r="U40" s="148">
        <f>L40-T40</f>
        <v>14215</v>
      </c>
      <c r="V40" s="147" t="s">
        <v>128</v>
      </c>
      <c r="W40" s="147" t="s">
        <v>128</v>
      </c>
      <c r="X40" s="147" t="s">
        <v>128</v>
      </c>
      <c r="Y40" s="147" t="s">
        <v>128</v>
      </c>
      <c r="Z40" s="147" t="s">
        <v>128</v>
      </c>
      <c r="AA40" s="151" t="s">
        <v>128</v>
      </c>
    </row>
    <row r="41" spans="1:29" ht="39.950000000000003" customHeight="1" x14ac:dyDescent="0.25">
      <c r="A41" s="83" t="s">
        <v>106</v>
      </c>
      <c r="B41" s="67" t="s">
        <v>22</v>
      </c>
      <c r="C41" s="174" t="s">
        <v>63</v>
      </c>
      <c r="D41" s="111">
        <f>E41/1.2</f>
        <v>83333.333333333343</v>
      </c>
      <c r="E41" s="103">
        <v>100000</v>
      </c>
      <c r="F41" s="188">
        <f t="shared" si="24"/>
        <v>83333.333333333343</v>
      </c>
      <c r="G41" s="181">
        <v>64217.5</v>
      </c>
      <c r="H41" s="74">
        <f>1.2*G41</f>
        <v>77061</v>
      </c>
      <c r="I41" s="81">
        <f>H41</f>
        <v>77061</v>
      </c>
      <c r="J41" s="88">
        <f>I41*K41</f>
        <v>38530.5</v>
      </c>
      <c r="K41" s="75">
        <f t="shared" si="23"/>
        <v>0.5</v>
      </c>
      <c r="L41" s="74">
        <f t="shared" si="17"/>
        <v>38530.5</v>
      </c>
      <c r="M41" s="75">
        <v>0.5</v>
      </c>
      <c r="N41" s="70">
        <f t="shared" si="15"/>
        <v>0</v>
      </c>
      <c r="O41" s="72">
        <v>0</v>
      </c>
      <c r="P41" s="70">
        <f>Q41*H41</f>
        <v>0</v>
      </c>
      <c r="Q41" s="69">
        <v>0</v>
      </c>
      <c r="R41" s="70">
        <f>H41*S41</f>
        <v>0</v>
      </c>
      <c r="S41" s="89">
        <v>0</v>
      </c>
      <c r="T41" s="150">
        <v>26552.25</v>
      </c>
      <c r="U41" s="148">
        <f>L41-T41</f>
        <v>11978.25</v>
      </c>
      <c r="V41" s="147" t="s">
        <v>128</v>
      </c>
      <c r="W41" s="147" t="s">
        <v>128</v>
      </c>
      <c r="X41" s="147" t="s">
        <v>128</v>
      </c>
      <c r="Y41" s="147" t="s">
        <v>128</v>
      </c>
      <c r="Z41" s="147" t="s">
        <v>128</v>
      </c>
      <c r="AA41" s="151" t="s">
        <v>128</v>
      </c>
    </row>
    <row r="42" spans="1:29" ht="39.950000000000003" customHeight="1" x14ac:dyDescent="0.25">
      <c r="A42" s="83" t="s">
        <v>107</v>
      </c>
      <c r="B42" s="67" t="s">
        <v>23</v>
      </c>
      <c r="C42" s="174" t="s">
        <v>63</v>
      </c>
      <c r="D42" s="111">
        <v>0</v>
      </c>
      <c r="E42" s="103">
        <f t="shared" si="2"/>
        <v>0</v>
      </c>
      <c r="F42" s="188">
        <f t="shared" si="24"/>
        <v>0</v>
      </c>
      <c r="G42" s="179">
        <v>0</v>
      </c>
      <c r="H42" s="74">
        <f t="shared" ref="H42:H43" si="25">1.2*G42</f>
        <v>0</v>
      </c>
      <c r="I42" s="81">
        <f>G42</f>
        <v>0</v>
      </c>
      <c r="J42" s="88">
        <f t="shared" ref="J42" si="26">I42*K42</f>
        <v>0</v>
      </c>
      <c r="K42" s="75">
        <v>0</v>
      </c>
      <c r="L42" s="74">
        <f t="shared" si="17"/>
        <v>0</v>
      </c>
      <c r="M42" s="75">
        <v>0</v>
      </c>
      <c r="N42" s="70">
        <f t="shared" si="15"/>
        <v>0</v>
      </c>
      <c r="O42" s="72">
        <v>0</v>
      </c>
      <c r="P42" s="70">
        <f>I42*Q42</f>
        <v>0</v>
      </c>
      <c r="Q42" s="72">
        <v>0</v>
      </c>
      <c r="R42" s="70">
        <f>S42*I42</f>
        <v>0</v>
      </c>
      <c r="S42" s="89">
        <v>0</v>
      </c>
      <c r="T42" s="147" t="s">
        <v>128</v>
      </c>
      <c r="U42" s="147" t="s">
        <v>128</v>
      </c>
      <c r="V42" s="147" t="s">
        <v>128</v>
      </c>
      <c r="W42" s="147" t="s">
        <v>128</v>
      </c>
      <c r="X42" s="147" t="s">
        <v>128</v>
      </c>
      <c r="Y42" s="147" t="s">
        <v>128</v>
      </c>
      <c r="Z42" s="147" t="s">
        <v>128</v>
      </c>
      <c r="AA42" s="151" t="s">
        <v>128</v>
      </c>
    </row>
    <row r="43" spans="1:29" ht="39.950000000000003" customHeight="1" x14ac:dyDescent="0.25">
      <c r="A43" s="83" t="s">
        <v>108</v>
      </c>
      <c r="B43" s="67" t="s">
        <v>24</v>
      </c>
      <c r="C43" s="174" t="s">
        <v>38</v>
      </c>
      <c r="D43" s="111">
        <f>E43/1.2</f>
        <v>33333.333333333336</v>
      </c>
      <c r="E43" s="103">
        <v>40000</v>
      </c>
      <c r="F43" s="188">
        <f>E43</f>
        <v>40000</v>
      </c>
      <c r="G43" s="179">
        <v>0</v>
      </c>
      <c r="H43" s="74">
        <f t="shared" si="25"/>
        <v>0</v>
      </c>
      <c r="I43" s="81">
        <f>H43</f>
        <v>0</v>
      </c>
      <c r="J43" s="88">
        <f>I43*K43</f>
        <v>0</v>
      </c>
      <c r="K43" s="75">
        <v>0</v>
      </c>
      <c r="L43" s="74">
        <f t="shared" si="17"/>
        <v>0</v>
      </c>
      <c r="M43" s="75">
        <v>0</v>
      </c>
      <c r="N43" s="70">
        <f t="shared" si="15"/>
        <v>0</v>
      </c>
      <c r="O43" s="72">
        <v>0</v>
      </c>
      <c r="P43" s="70">
        <f>Q43*I43</f>
        <v>0</v>
      </c>
      <c r="Q43" s="69">
        <v>0</v>
      </c>
      <c r="R43" s="70">
        <f>S43*I43</f>
        <v>0</v>
      </c>
      <c r="S43" s="11">
        <v>0</v>
      </c>
      <c r="T43" s="147" t="s">
        <v>128</v>
      </c>
      <c r="U43" s="147" t="s">
        <v>128</v>
      </c>
      <c r="V43" s="147" t="s">
        <v>128</v>
      </c>
      <c r="W43" s="147" t="s">
        <v>128</v>
      </c>
      <c r="X43" s="147" t="s">
        <v>128</v>
      </c>
      <c r="Y43" s="147" t="s">
        <v>128</v>
      </c>
      <c r="Z43" s="147" t="s">
        <v>128</v>
      </c>
      <c r="AA43" s="151" t="s">
        <v>128</v>
      </c>
    </row>
    <row r="44" spans="1:29" ht="39.950000000000003" customHeight="1" thickBot="1" x14ac:dyDescent="0.3">
      <c r="A44" s="85" t="s">
        <v>109</v>
      </c>
      <c r="B44" s="86" t="s">
        <v>25</v>
      </c>
      <c r="C44" s="175" t="s">
        <v>63</v>
      </c>
      <c r="D44" s="189">
        <f>E44/1.2</f>
        <v>83333.333333333343</v>
      </c>
      <c r="E44" s="176">
        <v>100000</v>
      </c>
      <c r="F44" s="190">
        <f>D44</f>
        <v>83333.333333333343</v>
      </c>
      <c r="G44" s="182">
        <v>64217.5</v>
      </c>
      <c r="H44" s="116">
        <f>1.2*G44</f>
        <v>77061</v>
      </c>
      <c r="I44" s="117">
        <f>H44</f>
        <v>77061</v>
      </c>
      <c r="J44" s="118">
        <f>I44*K44</f>
        <v>38530.5</v>
      </c>
      <c r="K44" s="119">
        <f>1-(M44+Q44+S44)</f>
        <v>0.5</v>
      </c>
      <c r="L44" s="120">
        <f t="shared" si="17"/>
        <v>38530.5</v>
      </c>
      <c r="M44" s="119">
        <v>0.5</v>
      </c>
      <c r="N44" s="121">
        <f t="shared" si="15"/>
        <v>0</v>
      </c>
      <c r="O44" s="122">
        <v>0</v>
      </c>
      <c r="P44" s="121">
        <f>Q44*H44</f>
        <v>0</v>
      </c>
      <c r="Q44" s="123">
        <v>0</v>
      </c>
      <c r="R44" s="121">
        <f>H44*S44</f>
        <v>0</v>
      </c>
      <c r="S44" s="124">
        <v>0</v>
      </c>
      <c r="T44" s="155">
        <v>26552.25</v>
      </c>
      <c r="U44" s="156">
        <f>L44-T44</f>
        <v>11978.25</v>
      </c>
      <c r="V44" s="157" t="s">
        <v>128</v>
      </c>
      <c r="W44" s="157" t="s">
        <v>128</v>
      </c>
      <c r="X44" s="157" t="s">
        <v>128</v>
      </c>
      <c r="Y44" s="157" t="s">
        <v>128</v>
      </c>
      <c r="Z44" s="157" t="s">
        <v>128</v>
      </c>
      <c r="AA44" s="158" t="s">
        <v>128</v>
      </c>
    </row>
    <row r="45" spans="1:29" ht="45" customHeight="1" thickBot="1" x14ac:dyDescent="0.3">
      <c r="A45" s="139"/>
      <c r="B45" s="141" t="s">
        <v>141</v>
      </c>
      <c r="C45" s="140"/>
      <c r="D45" s="195">
        <f t="shared" ref="D45:J45" si="27">SUM(D2:D44)</f>
        <v>2330583.333333334</v>
      </c>
      <c r="E45" s="196">
        <f t="shared" si="27"/>
        <v>2796700</v>
      </c>
      <c r="F45" s="197">
        <f t="shared" si="27"/>
        <v>2427866.666666667</v>
      </c>
      <c r="G45" s="183">
        <f t="shared" si="27"/>
        <v>1937844.0833333333</v>
      </c>
      <c r="H45" s="126">
        <f t="shared" si="27"/>
        <v>2325412.8999999994</v>
      </c>
      <c r="I45" s="127">
        <f t="shared" si="27"/>
        <v>2282430.8899999997</v>
      </c>
      <c r="J45" s="125">
        <f t="shared" si="27"/>
        <v>833797.54166666651</v>
      </c>
      <c r="K45" s="128">
        <f>J45/I45</f>
        <v>0.36531118875045837</v>
      </c>
      <c r="L45" s="126">
        <f>SUM(L2:L44)</f>
        <v>1016488.4483333332</v>
      </c>
      <c r="M45" s="171">
        <f>L45/I45</f>
        <v>0.44535343996038074</v>
      </c>
      <c r="N45" s="129">
        <f>SUM(N2:N44)</f>
        <v>30000</v>
      </c>
      <c r="O45" s="171">
        <f>N45/I45</f>
        <v>1.3143880996107622E-2</v>
      </c>
      <c r="P45" s="126">
        <f>SUM(P2:P44)</f>
        <v>82624.513999999996</v>
      </c>
      <c r="Q45" s="171">
        <f>P45/I45</f>
        <v>3.6200225979240934E-2</v>
      </c>
      <c r="R45" s="126">
        <f>SUM(R2:R44)</f>
        <v>278879.3</v>
      </c>
      <c r="S45" s="170">
        <f>R45/I45</f>
        <v>0.12218521104925986</v>
      </c>
      <c r="T45" s="126">
        <f t="shared" ref="T45:AA45" si="28">SUM(T2:T44)</f>
        <v>396157.10000000003</v>
      </c>
      <c r="U45" s="126">
        <f t="shared" si="28"/>
        <v>628860.34833333327</v>
      </c>
      <c r="V45" s="126">
        <f t="shared" si="28"/>
        <v>30000</v>
      </c>
      <c r="W45" s="126">
        <f t="shared" si="28"/>
        <v>0</v>
      </c>
      <c r="X45" s="126">
        <f t="shared" si="28"/>
        <v>20132.260000000002</v>
      </c>
      <c r="Y45" s="126">
        <f t="shared" si="28"/>
        <v>62492.254000000001</v>
      </c>
      <c r="Z45" s="130">
        <f t="shared" si="28"/>
        <v>148953</v>
      </c>
      <c r="AA45" s="131">
        <f t="shared" si="28"/>
        <v>129926.30000000002</v>
      </c>
    </row>
    <row r="47" spans="1:29" x14ac:dyDescent="0.25">
      <c r="T47" s="100"/>
    </row>
    <row r="48" spans="1:29" ht="18.75" x14ac:dyDescent="0.3">
      <c r="A48" s="132"/>
      <c r="B48" s="132"/>
      <c r="T48" s="100"/>
    </row>
    <row r="49" spans="1:20" ht="18.75" x14ac:dyDescent="0.3">
      <c r="A49" s="132"/>
      <c r="B49" s="133"/>
      <c r="T49" s="100"/>
    </row>
    <row r="50" spans="1:20" ht="18.75" x14ac:dyDescent="0.3">
      <c r="A50" s="132"/>
      <c r="B50" s="134"/>
      <c r="M50" s="169"/>
      <c r="T50" s="100"/>
    </row>
    <row r="51" spans="1:20" x14ac:dyDescent="0.25">
      <c r="A51" s="104"/>
      <c r="B51" s="104"/>
      <c r="I51" s="100"/>
    </row>
    <row r="52" spans="1:20" x14ac:dyDescent="0.25">
      <c r="A52" s="104"/>
      <c r="B52" s="104"/>
      <c r="Q52" s="168"/>
    </row>
    <row r="53" spans="1:20" x14ac:dyDescent="0.25">
      <c r="B53" s="133"/>
    </row>
    <row r="54" spans="1:20" x14ac:dyDescent="0.25">
      <c r="B54" s="133"/>
      <c r="O54" s="172"/>
    </row>
    <row r="55" spans="1:20" x14ac:dyDescent="0.25">
      <c r="B55" s="133"/>
    </row>
    <row r="56" spans="1:20" x14ac:dyDescent="0.25">
      <c r="B56" s="133"/>
    </row>
    <row r="57" spans="1:20" x14ac:dyDescent="0.25">
      <c r="B57" s="104"/>
    </row>
    <row r="61" spans="1:20" x14ac:dyDescent="0.25">
      <c r="B61" s="113"/>
    </row>
    <row r="62" spans="1:20" x14ac:dyDescent="0.25">
      <c r="C62" s="104"/>
      <c r="D62" s="185"/>
      <c r="E62" s="185"/>
      <c r="F62" s="185"/>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F2AB8-8D9E-4A81-B892-6450801E2D45}">
  <dimension ref="A1:AX52"/>
  <sheetViews>
    <sheetView tabSelected="1" zoomScale="70" zoomScaleNormal="70" workbookViewId="0">
      <selection activeCell="B2" sqref="B2:O26"/>
    </sheetView>
  </sheetViews>
  <sheetFormatPr baseColWidth="10" defaultRowHeight="15" x14ac:dyDescent="0.25"/>
  <cols>
    <col min="2" max="2" width="15.7109375" customWidth="1"/>
    <col min="3" max="4" width="17.5703125" customWidth="1"/>
    <col min="5" max="5" width="23.140625" customWidth="1"/>
    <col min="6" max="7" width="15.7109375" customWidth="1"/>
    <col min="8" max="8" width="20.42578125" customWidth="1"/>
    <col min="9" max="9" width="15.7109375" customWidth="1"/>
    <col min="10" max="10" width="16.7109375" customWidth="1"/>
    <col min="11" max="11" width="15.7109375" customWidth="1"/>
    <col min="12" max="12" width="21.5703125" customWidth="1"/>
    <col min="13" max="13" width="15.7109375" customWidth="1"/>
    <col min="14" max="14" width="22.85546875" customWidth="1"/>
    <col min="15" max="17" width="15.7109375" customWidth="1"/>
    <col min="19" max="19" width="14.5703125" bestFit="1" customWidth="1"/>
    <col min="20" max="50" width="11.42578125" style="18"/>
  </cols>
  <sheetData>
    <row r="1" spans="1:50" x14ac:dyDescent="0.25">
      <c r="A1" s="18"/>
      <c r="B1" s="13"/>
      <c r="C1" s="13"/>
      <c r="D1" s="13"/>
      <c r="E1" s="13"/>
      <c r="F1" s="13"/>
      <c r="G1" s="13"/>
      <c r="H1" s="13"/>
      <c r="I1" s="13"/>
      <c r="J1" s="13"/>
      <c r="K1" s="13"/>
      <c r="L1" s="13"/>
      <c r="M1" s="13"/>
      <c r="N1" s="13"/>
      <c r="O1" s="13"/>
      <c r="P1" s="13"/>
      <c r="Q1" s="13"/>
      <c r="R1" s="18"/>
      <c r="S1" s="18"/>
    </row>
    <row r="2" spans="1:50" ht="24.95" customHeight="1" x14ac:dyDescent="0.25">
      <c r="A2" s="18"/>
      <c r="B2" s="63" t="s">
        <v>127</v>
      </c>
      <c r="C2" s="13"/>
      <c r="D2" s="13"/>
      <c r="E2" s="13"/>
      <c r="F2" s="13"/>
      <c r="G2" s="13"/>
      <c r="H2" s="13"/>
      <c r="I2" s="13"/>
      <c r="J2" s="13"/>
      <c r="K2" s="13"/>
      <c r="L2" s="13"/>
      <c r="M2" s="13"/>
      <c r="N2" s="13"/>
      <c r="O2" s="13"/>
      <c r="P2" s="13"/>
      <c r="Q2" s="18"/>
      <c r="R2" s="18"/>
      <c r="S2" s="18"/>
      <c r="AT2"/>
      <c r="AU2"/>
      <c r="AV2"/>
      <c r="AW2"/>
      <c r="AX2"/>
    </row>
    <row r="3" spans="1:50" ht="15.75" thickBot="1" x14ac:dyDescent="0.3">
      <c r="A3" s="18"/>
      <c r="B3" s="13"/>
      <c r="C3" s="13"/>
      <c r="D3" s="13"/>
      <c r="E3" s="13"/>
      <c r="F3" s="13"/>
      <c r="G3" s="13"/>
      <c r="H3" s="13"/>
      <c r="I3" s="13"/>
      <c r="J3" s="13"/>
      <c r="K3" s="13"/>
      <c r="L3" s="13"/>
      <c r="M3" s="13"/>
      <c r="N3" s="13"/>
      <c r="O3" s="13"/>
      <c r="P3" s="13"/>
      <c r="Q3" s="18"/>
      <c r="R3" s="18"/>
      <c r="S3" s="18"/>
      <c r="AT3"/>
      <c r="AU3"/>
      <c r="AV3"/>
      <c r="AW3"/>
      <c r="AX3"/>
    </row>
    <row r="4" spans="1:50" ht="45.75" thickBot="1" x14ac:dyDescent="0.3">
      <c r="A4" s="18"/>
      <c r="B4" s="19" t="s">
        <v>2</v>
      </c>
      <c r="C4" s="20" t="s">
        <v>52</v>
      </c>
      <c r="D4" s="21" t="s">
        <v>74</v>
      </c>
      <c r="E4" s="22" t="s">
        <v>110</v>
      </c>
      <c r="F4" s="20" t="s">
        <v>45</v>
      </c>
      <c r="G4" s="23" t="s">
        <v>53</v>
      </c>
      <c r="H4" s="27" t="s">
        <v>157</v>
      </c>
      <c r="I4" s="23" t="s">
        <v>53</v>
      </c>
      <c r="J4" s="25" t="s">
        <v>123</v>
      </c>
      <c r="K4" s="26" t="s">
        <v>53</v>
      </c>
      <c r="L4" s="20" t="s">
        <v>55</v>
      </c>
      <c r="M4" s="23" t="s">
        <v>53</v>
      </c>
      <c r="N4" s="27" t="s">
        <v>56</v>
      </c>
      <c r="O4" s="23" t="s">
        <v>53</v>
      </c>
      <c r="P4" s="18"/>
      <c r="Q4" s="18"/>
      <c r="R4" s="18"/>
      <c r="S4" s="18"/>
      <c r="AT4"/>
      <c r="AU4"/>
      <c r="AV4"/>
      <c r="AW4"/>
      <c r="AX4"/>
    </row>
    <row r="5" spans="1:50" ht="24.95" customHeight="1" x14ac:dyDescent="0.25">
      <c r="A5" s="18"/>
      <c r="B5" s="28" t="s">
        <v>111</v>
      </c>
      <c r="C5" s="29">
        <v>209166.66666666669</v>
      </c>
      <c r="D5" s="30">
        <v>371000</v>
      </c>
      <c r="E5" s="31">
        <v>371000</v>
      </c>
      <c r="F5" s="32">
        <v>137500</v>
      </c>
      <c r="G5" s="33">
        <f>F5/E5</f>
        <v>0.37061994609164423</v>
      </c>
      <c r="H5" s="34">
        <v>143500</v>
      </c>
      <c r="I5" s="33">
        <f>H5/E5</f>
        <v>0.3867924528301887</v>
      </c>
      <c r="J5" s="35">
        <v>0</v>
      </c>
      <c r="K5" s="33">
        <v>0</v>
      </c>
      <c r="L5" s="36">
        <v>0</v>
      </c>
      <c r="M5" s="33">
        <f>L5/E5</f>
        <v>0</v>
      </c>
      <c r="N5" s="36">
        <v>0</v>
      </c>
      <c r="O5" s="33">
        <f>N5/E5</f>
        <v>0</v>
      </c>
      <c r="P5" s="18"/>
      <c r="Q5" s="18"/>
      <c r="R5" s="18"/>
      <c r="S5" s="18"/>
      <c r="AT5"/>
      <c r="AU5"/>
      <c r="AV5"/>
      <c r="AW5"/>
      <c r="AX5"/>
    </row>
    <row r="6" spans="1:50" ht="24.95" customHeight="1" x14ac:dyDescent="0.25">
      <c r="A6" s="18"/>
      <c r="B6" s="37" t="s">
        <v>40</v>
      </c>
      <c r="C6" s="38">
        <v>1284166.6666666667</v>
      </c>
      <c r="D6" s="39">
        <v>1541000</v>
      </c>
      <c r="E6" s="40">
        <v>1520833.3333333333</v>
      </c>
      <c r="F6" s="41">
        <v>338166.66666666663</v>
      </c>
      <c r="G6" s="33">
        <f t="shared" ref="G6:G13" si="0">F6/E6</f>
        <v>0.22235616438356162</v>
      </c>
      <c r="H6" s="41">
        <v>749666.66666666663</v>
      </c>
      <c r="I6" s="33">
        <f>H6/E6</f>
        <v>0.49293150684931508</v>
      </c>
      <c r="J6" s="43">
        <v>0</v>
      </c>
      <c r="K6" s="42">
        <v>0</v>
      </c>
      <c r="L6" s="41">
        <v>53100</v>
      </c>
      <c r="M6" s="33">
        <f t="shared" ref="M6:M13" si="1">L6/E6</f>
        <v>3.4915068493150687E-2</v>
      </c>
      <c r="N6" s="41">
        <v>321833.33333333337</v>
      </c>
      <c r="O6" s="33">
        <f t="shared" ref="O6:O13" si="2">N6/E6</f>
        <v>0.21161643835616442</v>
      </c>
      <c r="P6" s="18"/>
      <c r="Q6" s="18"/>
      <c r="R6" s="18"/>
      <c r="S6" s="18"/>
      <c r="AT6"/>
      <c r="AU6"/>
      <c r="AV6"/>
      <c r="AW6"/>
      <c r="AX6"/>
    </row>
    <row r="7" spans="1:50" ht="24.95" customHeight="1" x14ac:dyDescent="0.25">
      <c r="A7" s="18"/>
      <c r="B7" s="44" t="s">
        <v>41</v>
      </c>
      <c r="C7" s="38">
        <v>50000</v>
      </c>
      <c r="D7" s="39">
        <v>60000</v>
      </c>
      <c r="E7" s="40">
        <v>60000</v>
      </c>
      <c r="F7" s="41">
        <v>26159.999999999996</v>
      </c>
      <c r="G7" s="33">
        <f t="shared" si="0"/>
        <v>0.43599999999999994</v>
      </c>
      <c r="H7" s="41">
        <v>30000</v>
      </c>
      <c r="I7" s="33">
        <f>H7/E7</f>
        <v>0.5</v>
      </c>
      <c r="J7" s="43">
        <v>0</v>
      </c>
      <c r="K7" s="42">
        <v>0</v>
      </c>
      <c r="L7" s="41">
        <v>3840</v>
      </c>
      <c r="M7" s="33">
        <f t="shared" si="1"/>
        <v>6.4000000000000001E-2</v>
      </c>
      <c r="N7" s="41">
        <v>0</v>
      </c>
      <c r="O7" s="33">
        <f t="shared" si="2"/>
        <v>0</v>
      </c>
      <c r="P7" s="18"/>
      <c r="Q7" s="18"/>
      <c r="R7" s="18"/>
      <c r="S7" s="18"/>
      <c r="AT7"/>
      <c r="AU7"/>
      <c r="AV7"/>
      <c r="AW7"/>
      <c r="AX7"/>
    </row>
    <row r="8" spans="1:50" ht="24.95" customHeight="1" x14ac:dyDescent="0.25">
      <c r="A8" s="18"/>
      <c r="B8" s="44" t="s">
        <v>112</v>
      </c>
      <c r="C8" s="38">
        <v>31833.333333333336</v>
      </c>
      <c r="D8" s="39">
        <v>38200</v>
      </c>
      <c r="E8" s="40">
        <v>38200</v>
      </c>
      <c r="F8" s="41">
        <v>38200</v>
      </c>
      <c r="G8" s="33">
        <f t="shared" si="0"/>
        <v>1</v>
      </c>
      <c r="H8" s="41">
        <v>0</v>
      </c>
      <c r="I8" s="33">
        <f>H8/E8</f>
        <v>0</v>
      </c>
      <c r="J8" s="43">
        <v>0</v>
      </c>
      <c r="K8" s="42">
        <v>0</v>
      </c>
      <c r="L8" s="41">
        <v>0</v>
      </c>
      <c r="M8" s="33">
        <f t="shared" si="1"/>
        <v>0</v>
      </c>
      <c r="N8" s="41">
        <v>0</v>
      </c>
      <c r="O8" s="33">
        <f t="shared" si="2"/>
        <v>0</v>
      </c>
      <c r="P8" s="18"/>
      <c r="Q8" s="18"/>
      <c r="R8" s="18"/>
      <c r="S8" s="18"/>
      <c r="AT8"/>
      <c r="AU8"/>
      <c r="AV8"/>
      <c r="AW8"/>
      <c r="AX8"/>
    </row>
    <row r="9" spans="1:50" ht="24.95" customHeight="1" x14ac:dyDescent="0.25">
      <c r="A9" s="18"/>
      <c r="B9" s="44" t="s">
        <v>42</v>
      </c>
      <c r="C9" s="38">
        <v>4166.666666666667</v>
      </c>
      <c r="D9" s="39">
        <v>5000</v>
      </c>
      <c r="E9" s="40">
        <v>5000</v>
      </c>
      <c r="F9" s="41">
        <v>0</v>
      </c>
      <c r="G9" s="33">
        <f t="shared" si="0"/>
        <v>0</v>
      </c>
      <c r="H9" s="41">
        <v>5000</v>
      </c>
      <c r="I9" s="33">
        <f t="shared" ref="I9:I13" si="3">H9/E9</f>
        <v>1</v>
      </c>
      <c r="J9" s="43">
        <v>0</v>
      </c>
      <c r="K9" s="42">
        <v>0</v>
      </c>
      <c r="L9" s="41">
        <v>0</v>
      </c>
      <c r="M9" s="33">
        <f t="shared" si="1"/>
        <v>0</v>
      </c>
      <c r="N9" s="41">
        <v>0</v>
      </c>
      <c r="O9" s="33">
        <f t="shared" si="2"/>
        <v>0</v>
      </c>
      <c r="P9" s="18"/>
      <c r="Q9" s="18"/>
      <c r="R9" s="18"/>
      <c r="S9" s="18"/>
      <c r="AT9"/>
      <c r="AU9"/>
      <c r="AV9"/>
      <c r="AW9"/>
      <c r="AX9"/>
    </row>
    <row r="10" spans="1:50" ht="24.95" customHeight="1" x14ac:dyDescent="0.25">
      <c r="A10" s="18"/>
      <c r="B10" s="44" t="s">
        <v>113</v>
      </c>
      <c r="C10" s="38">
        <v>501250</v>
      </c>
      <c r="D10" s="39">
        <v>601500</v>
      </c>
      <c r="E10" s="40">
        <v>522833</v>
      </c>
      <c r="F10" s="41">
        <v>197816.41999999998</v>
      </c>
      <c r="G10" s="33">
        <f t="shared" si="0"/>
        <v>0.37835488578570975</v>
      </c>
      <c r="H10" s="41">
        <v>258016.5</v>
      </c>
      <c r="I10" s="33">
        <f t="shared" si="3"/>
        <v>0.49349696748292476</v>
      </c>
      <c r="J10" s="43">
        <v>0</v>
      </c>
      <c r="K10" s="42">
        <v>0</v>
      </c>
      <c r="L10" s="41">
        <v>57000</v>
      </c>
      <c r="M10" s="33">
        <f t="shared" si="1"/>
        <v>0.10902142749214376</v>
      </c>
      <c r="N10" s="41">
        <v>0</v>
      </c>
      <c r="O10" s="33">
        <f t="shared" si="2"/>
        <v>0</v>
      </c>
      <c r="P10" s="18"/>
      <c r="Q10" s="18"/>
      <c r="R10" s="18"/>
      <c r="S10" s="18"/>
      <c r="AT10"/>
      <c r="AU10"/>
      <c r="AV10"/>
      <c r="AW10"/>
      <c r="AX10"/>
    </row>
    <row r="11" spans="1:50" ht="24.95" customHeight="1" x14ac:dyDescent="0.25">
      <c r="A11" s="18"/>
      <c r="B11" s="44" t="s">
        <v>43</v>
      </c>
      <c r="C11" s="38">
        <v>116666.66666666669</v>
      </c>
      <c r="D11" s="39">
        <v>140000</v>
      </c>
      <c r="E11" s="40">
        <v>140000</v>
      </c>
      <c r="F11" s="41">
        <v>90000</v>
      </c>
      <c r="G11" s="33">
        <f t="shared" si="0"/>
        <v>0.6428571428571429</v>
      </c>
      <c r="H11" s="41">
        <v>50000</v>
      </c>
      <c r="I11" s="33">
        <f t="shared" si="3"/>
        <v>0.35714285714285715</v>
      </c>
      <c r="J11" s="43">
        <v>0</v>
      </c>
      <c r="K11" s="42">
        <v>0</v>
      </c>
      <c r="L11" s="41">
        <v>0</v>
      </c>
      <c r="M11" s="33">
        <f t="shared" si="1"/>
        <v>0</v>
      </c>
      <c r="N11" s="41">
        <v>0</v>
      </c>
      <c r="O11" s="33">
        <f t="shared" si="2"/>
        <v>0</v>
      </c>
      <c r="P11" s="18"/>
      <c r="Q11" s="18"/>
      <c r="R11" s="18"/>
      <c r="S11" s="18"/>
      <c r="AT11"/>
      <c r="AU11"/>
      <c r="AV11"/>
      <c r="AW11"/>
      <c r="AX11"/>
    </row>
    <row r="12" spans="1:50" ht="24.95" customHeight="1" thickBot="1" x14ac:dyDescent="0.3">
      <c r="A12" s="18"/>
      <c r="B12" s="45" t="s">
        <v>44</v>
      </c>
      <c r="C12" s="46">
        <v>83333.333333333343</v>
      </c>
      <c r="D12" s="47">
        <v>100000</v>
      </c>
      <c r="E12" s="48">
        <v>100000</v>
      </c>
      <c r="F12" s="49">
        <v>50000</v>
      </c>
      <c r="G12" s="142">
        <f t="shared" si="0"/>
        <v>0.5</v>
      </c>
      <c r="H12" s="49">
        <v>50000</v>
      </c>
      <c r="I12" s="142">
        <f t="shared" si="3"/>
        <v>0.5</v>
      </c>
      <c r="J12" s="146">
        <v>0</v>
      </c>
      <c r="K12" s="143">
        <v>0</v>
      </c>
      <c r="L12" s="49">
        <v>0</v>
      </c>
      <c r="M12" s="142">
        <f t="shared" si="1"/>
        <v>0</v>
      </c>
      <c r="N12" s="49">
        <v>0</v>
      </c>
      <c r="O12" s="142">
        <f t="shared" si="2"/>
        <v>0</v>
      </c>
      <c r="P12" s="18"/>
      <c r="Q12" s="18"/>
      <c r="R12" s="18"/>
      <c r="S12" s="18"/>
      <c r="AT12"/>
      <c r="AU12"/>
      <c r="AV12"/>
      <c r="AW12"/>
      <c r="AX12"/>
    </row>
    <row r="13" spans="1:50" ht="24.95" customHeight="1" thickBot="1" x14ac:dyDescent="0.3">
      <c r="A13" s="18"/>
      <c r="B13" s="19" t="s">
        <v>0</v>
      </c>
      <c r="C13" s="50">
        <v>2280583.3333333335</v>
      </c>
      <c r="D13" s="51">
        <v>2856700</v>
      </c>
      <c r="E13" s="52">
        <v>2757866.333333333</v>
      </c>
      <c r="F13" s="50">
        <v>877843.08666666667</v>
      </c>
      <c r="G13" s="144">
        <f t="shared" si="0"/>
        <v>0.31830516078915599</v>
      </c>
      <c r="H13" s="50">
        <v>1238183.1666666665</v>
      </c>
      <c r="I13" s="144">
        <f t="shared" si="3"/>
        <v>0.44896416903937453</v>
      </c>
      <c r="J13" s="54">
        <v>0</v>
      </c>
      <c r="K13" s="53">
        <v>0</v>
      </c>
      <c r="L13" s="50">
        <v>113940</v>
      </c>
      <c r="M13" s="144">
        <f t="shared" si="1"/>
        <v>4.13145476351948E-2</v>
      </c>
      <c r="N13" s="50">
        <v>321833.33333333337</v>
      </c>
      <c r="O13" s="144">
        <f t="shared" si="2"/>
        <v>0.11669649447598321</v>
      </c>
      <c r="P13" s="18"/>
      <c r="Q13" s="18"/>
      <c r="R13" s="18"/>
      <c r="S13" s="18"/>
      <c r="AT13"/>
      <c r="AU13"/>
      <c r="AV13"/>
      <c r="AW13"/>
      <c r="AX13"/>
    </row>
    <row r="14" spans="1:50" s="18" customFormat="1" x14ac:dyDescent="0.25"/>
    <row r="15" spans="1:50" s="18" customFormat="1" ht="24.95" customHeight="1" x14ac:dyDescent="0.3">
      <c r="B15" s="64" t="s">
        <v>158</v>
      </c>
    </row>
    <row r="16" spans="1:50" s="18" customFormat="1" ht="15.75" thickBot="1" x14ac:dyDescent="0.3"/>
    <row r="17" spans="1:50" ht="45.75" thickBot="1" x14ac:dyDescent="0.3">
      <c r="A17" s="18"/>
      <c r="B17" s="19" t="s">
        <v>2</v>
      </c>
      <c r="C17" s="20" t="s">
        <v>52</v>
      </c>
      <c r="D17" s="21" t="s">
        <v>74</v>
      </c>
      <c r="E17" s="22" t="s">
        <v>110</v>
      </c>
      <c r="F17" s="20" t="s">
        <v>45</v>
      </c>
      <c r="G17" s="23" t="s">
        <v>53</v>
      </c>
      <c r="H17" s="24" t="s">
        <v>54</v>
      </c>
      <c r="I17" s="23" t="s">
        <v>53</v>
      </c>
      <c r="J17" s="25" t="s">
        <v>123</v>
      </c>
      <c r="K17" s="26" t="s">
        <v>53</v>
      </c>
      <c r="L17" s="20" t="s">
        <v>55</v>
      </c>
      <c r="M17" s="23" t="s">
        <v>53</v>
      </c>
      <c r="N17" s="25" t="s">
        <v>56</v>
      </c>
      <c r="O17" s="23" t="s">
        <v>53</v>
      </c>
      <c r="P17" s="18"/>
      <c r="Q17" s="18"/>
      <c r="R17" s="18"/>
      <c r="S17" s="18"/>
      <c r="AT17"/>
      <c r="AU17"/>
      <c r="AV17"/>
      <c r="AW17"/>
      <c r="AX17"/>
    </row>
    <row r="18" spans="1:50" ht="24.95" customHeight="1" x14ac:dyDescent="0.25">
      <c r="A18" s="18"/>
      <c r="B18" s="28" t="s">
        <v>111</v>
      </c>
      <c r="C18" s="29">
        <f>'Dépenses réelles PEP '!G2+'Dépenses réelles PEP '!G3+'Dépenses réelles PEP '!G4</f>
        <v>217836.85</v>
      </c>
      <c r="D18" s="55">
        <f>'Dépenses réelles PEP '!H2+'Dépenses réelles PEP '!H3+'Dépenses réelles PEP '!H4</f>
        <v>261404.22</v>
      </c>
      <c r="E18" s="31">
        <f>'Dépenses réelles PEP '!I2+'Dépenses réelles PEP '!I3+'Dépenses réelles PEP '!I4</f>
        <v>258236.27666666667</v>
      </c>
      <c r="F18" s="32">
        <f>'Dépenses réelles PEP '!J2+'Dépenses réelles PEP '!J3+'Dépenses réelles PEP '!J4</f>
        <v>105851.41833333333</v>
      </c>
      <c r="G18" s="33">
        <f>F18/E18</f>
        <v>0.40990142709487382</v>
      </c>
      <c r="H18" s="34">
        <f>'Dépenses réelles PEP '!L2+'Dépenses réelles PEP '!L3+'Dépenses réelles PEP '!L4</f>
        <v>122384.85833333334</v>
      </c>
      <c r="I18" s="33">
        <f>H18/E18</f>
        <v>0.47392589419692044</v>
      </c>
      <c r="J18" s="41">
        <f>'Dépenses réelles PEP '!N2+'Dépenses réelles PEP '!N3+'Dépenses réelles PEP '!N4</f>
        <v>30000</v>
      </c>
      <c r="K18" s="42">
        <f>J18/E18</f>
        <v>0.11617267870820576</v>
      </c>
      <c r="L18" s="36">
        <f>'Dépenses réelles PEP '!P2+'Dépenses réelles PEP '!P3+'Dépenses réelles PEP '!P4</f>
        <v>0</v>
      </c>
      <c r="M18" s="33">
        <f>L18/E18</f>
        <v>0</v>
      </c>
      <c r="N18" s="56">
        <f>'Dépenses réelles PEP '!R2+'Dépenses réelles PEP '!R3+'Dépenses réelles PEP '!R4</f>
        <v>0</v>
      </c>
      <c r="O18" s="33">
        <f>N18/E18</f>
        <v>0</v>
      </c>
      <c r="P18" s="18"/>
      <c r="Q18" s="18"/>
      <c r="R18" s="18"/>
      <c r="S18" s="18"/>
      <c r="AT18"/>
      <c r="AU18"/>
      <c r="AV18"/>
      <c r="AW18"/>
      <c r="AX18"/>
    </row>
    <row r="19" spans="1:50" ht="24.95" customHeight="1" x14ac:dyDescent="0.25">
      <c r="A19" s="18"/>
      <c r="B19" s="37" t="s">
        <v>40</v>
      </c>
      <c r="C19" s="38">
        <f>SUM('Dépenses réelles PEP '!G5:G15)</f>
        <v>1287567.3333333333</v>
      </c>
      <c r="D19" s="57">
        <f>SUM('Dépenses réelles PEP '!H5:H15)</f>
        <v>1545080.8</v>
      </c>
      <c r="E19" s="40">
        <f>SUM('Dépenses réelles PEP '!I5:I15)</f>
        <v>1534528.6333333333</v>
      </c>
      <c r="F19" s="41">
        <f>SUM('Dépenses réelles PEP '!J5:J15)</f>
        <v>521998.17933333328</v>
      </c>
      <c r="G19" s="33">
        <f t="shared" ref="G19:G26" si="4">F19/E19</f>
        <v>0.34016841914473667</v>
      </c>
      <c r="H19" s="41">
        <f>SUM('Dépenses réelles PEP '!L5:L15)</f>
        <v>657184.30000000005</v>
      </c>
      <c r="I19" s="33">
        <f t="shared" ref="I19:I26" si="5">H19/E19</f>
        <v>0.42826460564144142</v>
      </c>
      <c r="J19" s="41">
        <v>0</v>
      </c>
      <c r="K19" s="42">
        <f t="shared" ref="K19:K26" si="6">J19/E19</f>
        <v>0</v>
      </c>
      <c r="L19" s="41">
        <f>SUM('Dépenses réelles PEP '!P5:P15)</f>
        <v>35825.767999999996</v>
      </c>
      <c r="M19" s="33">
        <f t="shared" ref="M19:M26" si="7">L19/E19</f>
        <v>2.3346431745739769E-2</v>
      </c>
      <c r="N19" s="58">
        <f>SUM('Dépenses réelles PEP '!R5:R15)</f>
        <v>278879.3</v>
      </c>
      <c r="O19" s="33">
        <f t="shared" ref="O19:O26" si="8">N19/E19</f>
        <v>0.18173613313047987</v>
      </c>
      <c r="P19" s="18"/>
      <c r="Q19" s="18"/>
      <c r="R19" s="18"/>
      <c r="S19" s="18"/>
      <c r="AT19"/>
      <c r="AU19"/>
      <c r="AV19"/>
      <c r="AW19"/>
      <c r="AX19"/>
    </row>
    <row r="20" spans="1:50" ht="24.95" customHeight="1" x14ac:dyDescent="0.25">
      <c r="A20" s="18"/>
      <c r="B20" s="44" t="s">
        <v>41</v>
      </c>
      <c r="C20" s="38">
        <f>SUM('Dépenses réelles PEP '!G16)</f>
        <v>68150</v>
      </c>
      <c r="D20" s="57">
        <f>SUM('Dépenses réelles PEP '!H16)</f>
        <v>81780</v>
      </c>
      <c r="E20" s="40">
        <f>SUM('Dépenses réelles PEP '!I16)</f>
        <v>81780</v>
      </c>
      <c r="F20" s="41">
        <f>SUM('Dépenses réelles PEP '!J16)</f>
        <v>31383.768</v>
      </c>
      <c r="G20" s="33">
        <f t="shared" si="4"/>
        <v>0.38375847395451212</v>
      </c>
      <c r="H20" s="41">
        <f>SUM('Dépenses réelles PEP '!L16)</f>
        <v>40890</v>
      </c>
      <c r="I20" s="33">
        <f t="shared" si="5"/>
        <v>0.5</v>
      </c>
      <c r="J20" s="41">
        <v>0</v>
      </c>
      <c r="K20" s="42">
        <f t="shared" si="6"/>
        <v>0</v>
      </c>
      <c r="L20" s="41">
        <f>SUM('Dépenses réelles PEP '!P16)</f>
        <v>9506.232</v>
      </c>
      <c r="M20" s="33">
        <f t="shared" si="7"/>
        <v>0.11624152604548789</v>
      </c>
      <c r="N20" s="58">
        <f>SUM('Dépenses réelles PEP '!R16)</f>
        <v>0</v>
      </c>
      <c r="O20" s="33">
        <f t="shared" si="8"/>
        <v>0</v>
      </c>
      <c r="P20" s="18"/>
      <c r="Q20" s="18"/>
      <c r="R20" s="18"/>
      <c r="S20" s="18"/>
      <c r="AT20"/>
      <c r="AU20"/>
      <c r="AV20"/>
      <c r="AW20"/>
      <c r="AX20"/>
    </row>
    <row r="21" spans="1:50" ht="24.95" customHeight="1" x14ac:dyDescent="0.25">
      <c r="A21" s="18"/>
      <c r="B21" s="44" t="s">
        <v>112</v>
      </c>
      <c r="C21" s="38">
        <v>0</v>
      </c>
      <c r="D21" s="57">
        <v>0</v>
      </c>
      <c r="E21" s="40">
        <v>0</v>
      </c>
      <c r="F21" s="41">
        <v>0</v>
      </c>
      <c r="G21" s="33">
        <v>0</v>
      </c>
      <c r="H21" s="41">
        <f>SUM('Dépenses réelles PEP '!L17:L25)</f>
        <v>0</v>
      </c>
      <c r="I21" s="33">
        <v>0</v>
      </c>
      <c r="J21" s="41">
        <v>0</v>
      </c>
      <c r="K21" s="42">
        <v>0</v>
      </c>
      <c r="L21" s="41">
        <v>0</v>
      </c>
      <c r="M21" s="33">
        <v>0</v>
      </c>
      <c r="N21" s="58">
        <v>0</v>
      </c>
      <c r="O21" s="33">
        <v>0</v>
      </c>
      <c r="P21" s="18"/>
      <c r="Q21" s="18"/>
      <c r="R21" s="18"/>
      <c r="S21" s="18"/>
      <c r="AT21"/>
      <c r="AU21"/>
      <c r="AV21"/>
      <c r="AW21"/>
      <c r="AX21"/>
    </row>
    <row r="22" spans="1:50" ht="24.95" customHeight="1" x14ac:dyDescent="0.25">
      <c r="A22" s="18"/>
      <c r="B22" s="44" t="s">
        <v>42</v>
      </c>
      <c r="C22" s="38">
        <v>0</v>
      </c>
      <c r="D22" s="57">
        <v>0</v>
      </c>
      <c r="E22" s="40">
        <v>0</v>
      </c>
      <c r="F22" s="41">
        <v>0</v>
      </c>
      <c r="G22" s="33">
        <v>0</v>
      </c>
      <c r="H22" s="41">
        <v>0</v>
      </c>
      <c r="I22" s="33">
        <v>0</v>
      </c>
      <c r="J22" s="41">
        <v>0</v>
      </c>
      <c r="K22" s="42">
        <v>0</v>
      </c>
      <c r="L22" s="41">
        <v>0</v>
      </c>
      <c r="M22" s="33">
        <v>0</v>
      </c>
      <c r="N22" s="58">
        <v>0</v>
      </c>
      <c r="O22" s="33">
        <v>0</v>
      </c>
      <c r="P22" s="18"/>
      <c r="Q22" s="18"/>
      <c r="R22" s="18"/>
      <c r="S22" s="18"/>
      <c r="AT22"/>
      <c r="AU22"/>
      <c r="AV22"/>
      <c r="AW22"/>
      <c r="AX22"/>
    </row>
    <row r="23" spans="1:50" ht="24.95" customHeight="1" x14ac:dyDescent="0.25">
      <c r="A23" s="18"/>
      <c r="B23" s="44" t="s">
        <v>113</v>
      </c>
      <c r="C23" s="38">
        <f>SUM('Dépenses réelles PEP '!G27:G40)</f>
        <v>235854.90000000002</v>
      </c>
      <c r="D23" s="57">
        <f>SUM('Dépenses réelles PEP '!H27:H40)</f>
        <v>283025.88</v>
      </c>
      <c r="E23" s="40">
        <f>SUM('Dépenses réelles PEP '!I27:I40)</f>
        <v>253763.97999999998</v>
      </c>
      <c r="F23" s="41">
        <f>SUM('Dépenses réelles PEP '!J27:J40)</f>
        <v>97503.176000000007</v>
      </c>
      <c r="G23" s="33">
        <f t="shared" si="4"/>
        <v>0.38422780096686698</v>
      </c>
      <c r="H23" s="41">
        <f>SUM('Dépenses réelles PEP '!L27:L40)</f>
        <v>118968.29000000001</v>
      </c>
      <c r="I23" s="33">
        <f t="shared" si="5"/>
        <v>0.46881472303516053</v>
      </c>
      <c r="J23" s="41">
        <v>0</v>
      </c>
      <c r="K23" s="42">
        <f t="shared" si="6"/>
        <v>0</v>
      </c>
      <c r="L23" s="41">
        <f>SUM('Dépenses réelles PEP '!P27:P40)</f>
        <v>37292.513999999996</v>
      </c>
      <c r="M23" s="33">
        <f t="shared" si="7"/>
        <v>0.1469574759979726</v>
      </c>
      <c r="N23" s="58">
        <v>0</v>
      </c>
      <c r="O23" s="33">
        <f t="shared" si="8"/>
        <v>0</v>
      </c>
      <c r="P23" s="18"/>
      <c r="Q23" s="18"/>
      <c r="R23" s="18"/>
      <c r="S23" s="18"/>
      <c r="AT23"/>
      <c r="AU23"/>
      <c r="AV23"/>
      <c r="AW23"/>
      <c r="AX23"/>
    </row>
    <row r="24" spans="1:50" ht="24.95" customHeight="1" x14ac:dyDescent="0.25">
      <c r="A24" s="18"/>
      <c r="B24" s="44" t="s">
        <v>43</v>
      </c>
      <c r="C24" s="38">
        <f>SUM('Dépenses réelles PEP '!G41:G43)</f>
        <v>64217.5</v>
      </c>
      <c r="D24" s="57">
        <f>SUM('Dépenses réelles PEP '!H41:H43)</f>
        <v>77061</v>
      </c>
      <c r="E24" s="40">
        <f>SUM('Dépenses réelles PEP '!I41:I43)</f>
        <v>77061</v>
      </c>
      <c r="F24" s="41">
        <f>SUM('Dépenses réelles PEP '!J41:J43)</f>
        <v>38530.5</v>
      </c>
      <c r="G24" s="33">
        <f t="shared" si="4"/>
        <v>0.5</v>
      </c>
      <c r="H24" s="41">
        <f>SUM('Dépenses réelles PEP '!L41:L43)</f>
        <v>38530.5</v>
      </c>
      <c r="I24" s="33">
        <f t="shared" si="5"/>
        <v>0.5</v>
      </c>
      <c r="J24" s="41">
        <v>0</v>
      </c>
      <c r="K24" s="42">
        <f t="shared" si="6"/>
        <v>0</v>
      </c>
      <c r="L24" s="41">
        <v>0</v>
      </c>
      <c r="M24" s="33">
        <f t="shared" si="7"/>
        <v>0</v>
      </c>
      <c r="N24" s="58">
        <v>0</v>
      </c>
      <c r="O24" s="33">
        <f t="shared" si="8"/>
        <v>0</v>
      </c>
      <c r="P24" s="18"/>
      <c r="Q24" s="18"/>
      <c r="R24" s="18"/>
      <c r="S24" s="18"/>
      <c r="AT24"/>
      <c r="AU24"/>
      <c r="AV24"/>
      <c r="AW24"/>
      <c r="AX24"/>
    </row>
    <row r="25" spans="1:50" ht="24.95" customHeight="1" thickBot="1" x14ac:dyDescent="0.3">
      <c r="A25" s="18"/>
      <c r="B25" s="45" t="s">
        <v>44</v>
      </c>
      <c r="C25" s="46">
        <f>'Dépenses réelles PEP '!G44</f>
        <v>64217.5</v>
      </c>
      <c r="D25" s="59">
        <f>'Dépenses réelles PEP '!H44</f>
        <v>77061</v>
      </c>
      <c r="E25" s="48">
        <f>'Dépenses réelles PEP '!I44</f>
        <v>77061</v>
      </c>
      <c r="F25" s="49">
        <f>'Dépenses réelles PEP '!J44</f>
        <v>38530.5</v>
      </c>
      <c r="G25" s="142">
        <f t="shared" si="4"/>
        <v>0.5</v>
      </c>
      <c r="H25" s="49">
        <f>'Dépenses réelles PEP '!L44</f>
        <v>38530.5</v>
      </c>
      <c r="I25" s="142">
        <f t="shared" si="5"/>
        <v>0.5</v>
      </c>
      <c r="J25" s="49">
        <v>0</v>
      </c>
      <c r="K25" s="143">
        <f t="shared" si="6"/>
        <v>0</v>
      </c>
      <c r="L25" s="49">
        <v>0</v>
      </c>
      <c r="M25" s="142">
        <f t="shared" si="7"/>
        <v>0</v>
      </c>
      <c r="N25" s="60">
        <v>0</v>
      </c>
      <c r="O25" s="142">
        <f t="shared" si="8"/>
        <v>0</v>
      </c>
      <c r="P25" s="18"/>
      <c r="Q25" s="18"/>
      <c r="R25" s="18"/>
      <c r="S25" s="18"/>
      <c r="AT25"/>
      <c r="AU25"/>
      <c r="AV25"/>
      <c r="AW25"/>
      <c r="AX25"/>
    </row>
    <row r="26" spans="1:50" ht="24.95" customHeight="1" thickBot="1" x14ac:dyDescent="0.3">
      <c r="A26" s="18"/>
      <c r="B26" s="19" t="s">
        <v>0</v>
      </c>
      <c r="C26" s="50">
        <f>SUM(C18:C25)</f>
        <v>1937844.0833333335</v>
      </c>
      <c r="D26" s="61">
        <f>SUM(D18:D25)</f>
        <v>2325412.9</v>
      </c>
      <c r="E26" s="52">
        <f>SUM(E18:E25)</f>
        <v>2282430.8899999997</v>
      </c>
      <c r="F26" s="50">
        <f>SUM(F18:F25)</f>
        <v>833797.54166666663</v>
      </c>
      <c r="G26" s="144">
        <f t="shared" si="4"/>
        <v>0.36531118875045837</v>
      </c>
      <c r="H26" s="50">
        <f>SUM(H18:H25)</f>
        <v>1016488.4483333335</v>
      </c>
      <c r="I26" s="144">
        <f t="shared" si="5"/>
        <v>0.44535343996038085</v>
      </c>
      <c r="J26" s="50">
        <f>SUM(J18:J25)</f>
        <v>30000</v>
      </c>
      <c r="K26" s="145">
        <f t="shared" si="6"/>
        <v>1.3143880996107622E-2</v>
      </c>
      <c r="L26" s="50">
        <f>SUM(L18:L25)</f>
        <v>82624.513999999996</v>
      </c>
      <c r="M26" s="144">
        <f t="shared" si="7"/>
        <v>3.6200225979240934E-2</v>
      </c>
      <c r="N26" s="62">
        <f>SUM(N18:N25)</f>
        <v>278879.3</v>
      </c>
      <c r="O26" s="144">
        <f t="shared" si="8"/>
        <v>0.12218521104925986</v>
      </c>
      <c r="P26" s="18"/>
      <c r="Q26" s="18"/>
      <c r="R26" s="18"/>
      <c r="S26" s="18"/>
      <c r="AT26"/>
      <c r="AU26"/>
      <c r="AV26"/>
      <c r="AW26"/>
      <c r="AX26"/>
    </row>
    <row r="27" spans="1:50" x14ac:dyDescent="0.25">
      <c r="A27" s="18"/>
      <c r="B27" s="18"/>
      <c r="C27" s="18"/>
      <c r="D27" s="18"/>
      <c r="E27" s="18"/>
      <c r="F27" s="18"/>
      <c r="G27" s="18"/>
      <c r="H27" s="18"/>
      <c r="I27" s="18"/>
      <c r="J27" s="18"/>
      <c r="K27" s="18"/>
      <c r="L27" s="18"/>
      <c r="M27" s="18"/>
      <c r="N27" s="18"/>
      <c r="O27" s="18"/>
      <c r="P27" s="18"/>
      <c r="Q27" s="18"/>
      <c r="R27" s="18"/>
      <c r="S27" s="18"/>
    </row>
    <row r="28" spans="1:50" x14ac:dyDescent="0.25">
      <c r="A28" s="18"/>
      <c r="B28" s="18"/>
      <c r="C28" s="18"/>
      <c r="D28" s="18"/>
      <c r="E28" s="18"/>
      <c r="F28" s="18"/>
      <c r="G28" s="18"/>
      <c r="H28" s="18"/>
      <c r="I28" s="18"/>
      <c r="J28" s="18"/>
      <c r="K28" s="18"/>
      <c r="L28" s="18"/>
      <c r="M28" s="18"/>
      <c r="N28" s="18"/>
      <c r="O28" s="18"/>
      <c r="P28" s="18"/>
      <c r="Q28" s="18"/>
      <c r="R28" s="18"/>
      <c r="S28" s="18"/>
    </row>
    <row r="29" spans="1:50" x14ac:dyDescent="0.25">
      <c r="A29" s="18"/>
      <c r="B29" s="18"/>
      <c r="C29" s="18"/>
      <c r="D29" s="18"/>
      <c r="E29" s="18"/>
      <c r="F29" s="18"/>
      <c r="G29" s="18"/>
      <c r="H29" s="18"/>
      <c r="I29" s="18"/>
      <c r="J29" s="18"/>
      <c r="K29" s="18"/>
      <c r="L29" s="18"/>
      <c r="M29" s="18"/>
      <c r="N29" s="18"/>
      <c r="O29" s="18"/>
      <c r="P29" s="18"/>
      <c r="Q29" s="18"/>
      <c r="R29" s="18"/>
      <c r="S29" s="18"/>
    </row>
    <row r="30" spans="1:50" s="18" customFormat="1" x14ac:dyDescent="0.25"/>
    <row r="31" spans="1:50" s="18" customFormat="1" x14ac:dyDescent="0.25"/>
    <row r="32" spans="1:50" s="18" customFormat="1" x14ac:dyDescent="0.25"/>
    <row r="33" s="18" customFormat="1" x14ac:dyDescent="0.25"/>
    <row r="34" s="18" customFormat="1" x14ac:dyDescent="0.25"/>
    <row r="35" s="18" customFormat="1" x14ac:dyDescent="0.25"/>
    <row r="36" s="18" customFormat="1" x14ac:dyDescent="0.25"/>
    <row r="37" s="18" customFormat="1" x14ac:dyDescent="0.25"/>
    <row r="38" s="18" customFormat="1" x14ac:dyDescent="0.25"/>
    <row r="39" s="18" customFormat="1" x14ac:dyDescent="0.25"/>
    <row r="40" s="18" customFormat="1" x14ac:dyDescent="0.25"/>
    <row r="41" s="18" customFormat="1" x14ac:dyDescent="0.25"/>
    <row r="42" s="18" customFormat="1" x14ac:dyDescent="0.25"/>
    <row r="43" s="18" customFormat="1" x14ac:dyDescent="0.25"/>
    <row r="44" s="18" customFormat="1" x14ac:dyDescent="0.25"/>
    <row r="45" s="18" customFormat="1" x14ac:dyDescent="0.25"/>
    <row r="46" s="18" customFormat="1" x14ac:dyDescent="0.25"/>
    <row r="47" s="18" customFormat="1" x14ac:dyDescent="0.25"/>
    <row r="48" s="18" customFormat="1" x14ac:dyDescent="0.25"/>
    <row r="49" s="18" customFormat="1" x14ac:dyDescent="0.25"/>
    <row r="50" s="18" customFormat="1" x14ac:dyDescent="0.25"/>
    <row r="51" s="18" customFormat="1" x14ac:dyDescent="0.25"/>
    <row r="52" s="18" customFormat="1" x14ac:dyDescent="0.25"/>
  </sheetData>
  <pageMargins left="0.70866141732283472" right="0.70866141732283472" top="0.74803149606299213" bottom="0.74803149606299213" header="0.31496062992125984" footer="0.31496062992125984"/>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Lisez-moi</vt:lpstr>
      <vt:lpstr>Dépenses réelles PEP </vt:lpstr>
      <vt:lpstr>Synthèse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Yann.Raguenes</dc:creator>
  <cp:lastModifiedBy>Carlier Benoit</cp:lastModifiedBy>
  <cp:lastPrinted>2025-05-27T09:30:32Z</cp:lastPrinted>
  <dcterms:created xsi:type="dcterms:W3CDTF">2016-03-24T13:05:19Z</dcterms:created>
  <dcterms:modified xsi:type="dcterms:W3CDTF">2025-05-27T10:02:34Z</dcterms:modified>
</cp:coreProperties>
</file>